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1508" yWindow="0" windowWidth="11532" windowHeight="9648" tabRatio="500" activeTab="0"/>
  </bookViews>
  <sheets>
    <sheet name="KRYCÍ LIST" sheetId="1" r:id="rId1"/>
    <sheet name="1.1.H Stavební rozpočet" sheetId="4" r:id="rId2"/>
    <sheet name="1.1.M Stavební rozpočet" sheetId="11" r:id="rId3"/>
    <sheet name="1.2.H Elektroinstalace" sheetId="6" r:id="rId4"/>
    <sheet name="1.2.M Elektroinstalace" sheetId="15" r:id="rId5"/>
    <sheet name="1.3.H LPS" sheetId="8" r:id="rId6"/>
    <sheet name="1.3.M LPS" sheetId="16" r:id="rId7"/>
    <sheet name="1.4. Všeobecné konstrukce" sheetId="12" r:id="rId8"/>
    <sheet name="2.1.H Stavební rozpočet" sheetId="9" r:id="rId9"/>
    <sheet name="2.1.M Stavební rozpočet" sheetId="13" r:id="rId10"/>
    <sheet name="2.2.H Zdravotechnika" sheetId="5" r:id="rId11"/>
    <sheet name="2.2.M Zdravotechnika" sheetId="17" r:id="rId12"/>
    <sheet name="2.3.H SAT-TV" sheetId="7" r:id="rId13"/>
    <sheet name="2.3.M SAT-TV" sheetId="18" r:id="rId14"/>
    <sheet name="2.4.H Elektroinstalace" sheetId="10" r:id="rId15"/>
    <sheet name="2.5. Všeobecné konstrukce" sheetId="14" r:id="rId16"/>
  </sheets>
  <externalReferences>
    <externalReference r:id="rId19"/>
    <externalReference r:id="rId20"/>
    <externalReference r:id="rId21"/>
  </externalReferences>
  <definedNames>
    <definedName name="__obl11" localSheetId="1">#REF!</definedName>
    <definedName name="__obl11" localSheetId="2">#REF!</definedName>
    <definedName name="__obl11" localSheetId="4">#REF!</definedName>
    <definedName name="__obl11" localSheetId="6">#REF!</definedName>
    <definedName name="__obl11" localSheetId="8">#REF!</definedName>
    <definedName name="__obl11" localSheetId="9">#REF!</definedName>
    <definedName name="__obl11" localSheetId="11">#REF!</definedName>
    <definedName name="__obl11" localSheetId="13">#REF!</definedName>
    <definedName name="__obl11" localSheetId="14">#REF!</definedName>
    <definedName name="__obl11">#REF!</definedName>
    <definedName name="__obl12" localSheetId="1">#REF!</definedName>
    <definedName name="__obl12" localSheetId="2">#REF!</definedName>
    <definedName name="__obl12" localSheetId="8">#REF!</definedName>
    <definedName name="__obl12" localSheetId="9">#REF!</definedName>
    <definedName name="__obl12" localSheetId="14">#REF!</definedName>
    <definedName name="__obl12">#REF!</definedName>
    <definedName name="__obl13" localSheetId="1">#REF!</definedName>
    <definedName name="__obl13" localSheetId="2">#REF!</definedName>
    <definedName name="__obl13" localSheetId="8">#REF!</definedName>
    <definedName name="__obl13" localSheetId="9">#REF!</definedName>
    <definedName name="__obl13" localSheetId="14">#REF!</definedName>
    <definedName name="__obl13">#REF!</definedName>
    <definedName name="__obl14" localSheetId="1">#REF!</definedName>
    <definedName name="__obl14" localSheetId="2">#REF!</definedName>
    <definedName name="__obl14" localSheetId="8">#REF!</definedName>
    <definedName name="__obl14" localSheetId="9">#REF!</definedName>
    <definedName name="__obl14" localSheetId="14">#REF!</definedName>
    <definedName name="__obl14">#REF!</definedName>
    <definedName name="__obl15" localSheetId="1">#REF!</definedName>
    <definedName name="__obl15" localSheetId="2">#REF!</definedName>
    <definedName name="__obl15" localSheetId="8">#REF!</definedName>
    <definedName name="__obl15" localSheetId="9">#REF!</definedName>
    <definedName name="__obl15" localSheetId="14">#REF!</definedName>
    <definedName name="__obl15">#REF!</definedName>
    <definedName name="__obl16" localSheetId="1">#REF!</definedName>
    <definedName name="__obl16" localSheetId="2">#REF!</definedName>
    <definedName name="__obl16" localSheetId="8">#REF!</definedName>
    <definedName name="__obl16" localSheetId="9">#REF!</definedName>
    <definedName name="__obl16" localSheetId="14">#REF!</definedName>
    <definedName name="__obl16">#REF!</definedName>
    <definedName name="__obl17" localSheetId="1">#REF!</definedName>
    <definedName name="__obl17" localSheetId="2">#REF!</definedName>
    <definedName name="__obl17" localSheetId="8">#REF!</definedName>
    <definedName name="__obl17" localSheetId="9">#REF!</definedName>
    <definedName name="__obl17" localSheetId="14">#REF!</definedName>
    <definedName name="__obl17">#REF!</definedName>
    <definedName name="__obl1710" localSheetId="1">#REF!</definedName>
    <definedName name="__obl1710" localSheetId="2">#REF!</definedName>
    <definedName name="__obl1710" localSheetId="8">#REF!</definedName>
    <definedName name="__obl1710" localSheetId="9">#REF!</definedName>
    <definedName name="__obl1710" localSheetId="14">#REF!</definedName>
    <definedName name="__obl1710">#REF!</definedName>
    <definedName name="__obl1711" localSheetId="1">#REF!</definedName>
    <definedName name="__obl1711" localSheetId="2">#REF!</definedName>
    <definedName name="__obl1711" localSheetId="8">#REF!</definedName>
    <definedName name="__obl1711" localSheetId="9">#REF!</definedName>
    <definedName name="__obl1711" localSheetId="14">#REF!</definedName>
    <definedName name="__obl1711">#REF!</definedName>
    <definedName name="__obl1712" localSheetId="1">#REF!</definedName>
    <definedName name="__obl1712" localSheetId="2">#REF!</definedName>
    <definedName name="__obl1712" localSheetId="8">#REF!</definedName>
    <definedName name="__obl1712" localSheetId="9">#REF!</definedName>
    <definedName name="__obl1712" localSheetId="14">#REF!</definedName>
    <definedName name="__obl1712">#REF!</definedName>
    <definedName name="__obl1713" localSheetId="1">#REF!</definedName>
    <definedName name="__obl1713" localSheetId="2">#REF!</definedName>
    <definedName name="__obl1713" localSheetId="8">#REF!</definedName>
    <definedName name="__obl1713" localSheetId="9">#REF!</definedName>
    <definedName name="__obl1713" localSheetId="14">#REF!</definedName>
    <definedName name="__obl1713">#REF!</definedName>
    <definedName name="__obl1714" localSheetId="1">#REF!</definedName>
    <definedName name="__obl1714" localSheetId="2">#REF!</definedName>
    <definedName name="__obl1714" localSheetId="8">#REF!</definedName>
    <definedName name="__obl1714" localSheetId="9">#REF!</definedName>
    <definedName name="__obl1714" localSheetId="14">#REF!</definedName>
    <definedName name="__obl1714">#REF!</definedName>
    <definedName name="__obl1715" localSheetId="1">#REF!</definedName>
    <definedName name="__obl1715" localSheetId="2">#REF!</definedName>
    <definedName name="__obl1715" localSheetId="8">#REF!</definedName>
    <definedName name="__obl1715" localSheetId="9">#REF!</definedName>
    <definedName name="__obl1715" localSheetId="14">#REF!</definedName>
    <definedName name="__obl1715">#REF!</definedName>
    <definedName name="__obl1716" localSheetId="1">#REF!</definedName>
    <definedName name="__obl1716" localSheetId="2">#REF!</definedName>
    <definedName name="__obl1716" localSheetId="8">#REF!</definedName>
    <definedName name="__obl1716" localSheetId="9">#REF!</definedName>
    <definedName name="__obl1716" localSheetId="14">#REF!</definedName>
    <definedName name="__obl1716">#REF!</definedName>
    <definedName name="__obl1717" localSheetId="1">#REF!</definedName>
    <definedName name="__obl1717" localSheetId="2">#REF!</definedName>
    <definedName name="__obl1717" localSheetId="8">#REF!</definedName>
    <definedName name="__obl1717" localSheetId="9">#REF!</definedName>
    <definedName name="__obl1717" localSheetId="14">#REF!</definedName>
    <definedName name="__obl1717">#REF!</definedName>
    <definedName name="__obl1718" localSheetId="1">#REF!</definedName>
    <definedName name="__obl1718" localSheetId="2">#REF!</definedName>
    <definedName name="__obl1718" localSheetId="8">#REF!</definedName>
    <definedName name="__obl1718" localSheetId="9">#REF!</definedName>
    <definedName name="__obl1718" localSheetId="14">#REF!</definedName>
    <definedName name="__obl1718">#REF!</definedName>
    <definedName name="__obl1719" localSheetId="1">#REF!</definedName>
    <definedName name="__obl1719" localSheetId="2">#REF!</definedName>
    <definedName name="__obl1719" localSheetId="8">#REF!</definedName>
    <definedName name="__obl1719" localSheetId="9">#REF!</definedName>
    <definedName name="__obl1719" localSheetId="14">#REF!</definedName>
    <definedName name="__obl1719">#REF!</definedName>
    <definedName name="__obl173" localSheetId="1">#REF!</definedName>
    <definedName name="__obl173" localSheetId="2">#REF!</definedName>
    <definedName name="__obl173" localSheetId="8">#REF!</definedName>
    <definedName name="__obl173" localSheetId="9">#REF!</definedName>
    <definedName name="__obl173" localSheetId="14">#REF!</definedName>
    <definedName name="__obl173">#REF!</definedName>
    <definedName name="__obl174" localSheetId="1">#REF!</definedName>
    <definedName name="__obl174" localSheetId="2">#REF!</definedName>
    <definedName name="__obl174" localSheetId="8">#REF!</definedName>
    <definedName name="__obl174" localSheetId="9">#REF!</definedName>
    <definedName name="__obl174" localSheetId="14">#REF!</definedName>
    <definedName name="__obl174">#REF!</definedName>
    <definedName name="__obl175" localSheetId="1">#REF!</definedName>
    <definedName name="__obl175" localSheetId="2">#REF!</definedName>
    <definedName name="__obl175" localSheetId="8">#REF!</definedName>
    <definedName name="__obl175" localSheetId="9">#REF!</definedName>
    <definedName name="__obl175" localSheetId="14">#REF!</definedName>
    <definedName name="__obl175">#REF!</definedName>
    <definedName name="__obl176" localSheetId="1">#REF!</definedName>
    <definedName name="__obl176" localSheetId="2">#REF!</definedName>
    <definedName name="__obl176" localSheetId="8">#REF!</definedName>
    <definedName name="__obl176" localSheetId="9">#REF!</definedName>
    <definedName name="__obl176" localSheetId="14">#REF!</definedName>
    <definedName name="__obl176">#REF!</definedName>
    <definedName name="__obl177" localSheetId="1">#REF!</definedName>
    <definedName name="__obl177" localSheetId="2">#REF!</definedName>
    <definedName name="__obl177" localSheetId="8">#REF!</definedName>
    <definedName name="__obl177" localSheetId="9">#REF!</definedName>
    <definedName name="__obl177" localSheetId="14">#REF!</definedName>
    <definedName name="__obl177">#REF!</definedName>
    <definedName name="__obl178" localSheetId="1">#REF!</definedName>
    <definedName name="__obl178" localSheetId="2">#REF!</definedName>
    <definedName name="__obl178" localSheetId="8">#REF!</definedName>
    <definedName name="__obl178" localSheetId="9">#REF!</definedName>
    <definedName name="__obl178" localSheetId="14">#REF!</definedName>
    <definedName name="__obl178">#REF!</definedName>
    <definedName name="__obl179" localSheetId="1">#REF!</definedName>
    <definedName name="__obl179" localSheetId="2">#REF!</definedName>
    <definedName name="__obl179" localSheetId="8">#REF!</definedName>
    <definedName name="__obl179" localSheetId="9">#REF!</definedName>
    <definedName name="__obl179" localSheetId="14">#REF!</definedName>
    <definedName name="__obl179">#REF!</definedName>
    <definedName name="__obl18" localSheetId="1">#REF!</definedName>
    <definedName name="__obl18" localSheetId="2">#REF!</definedName>
    <definedName name="__obl18" localSheetId="8">#REF!</definedName>
    <definedName name="__obl18" localSheetId="9">#REF!</definedName>
    <definedName name="__obl18" localSheetId="14">#REF!</definedName>
    <definedName name="__obl18">#REF!</definedName>
    <definedName name="__obl181" localSheetId="1">#REF!</definedName>
    <definedName name="__obl181" localSheetId="2">#REF!</definedName>
    <definedName name="__obl181" localSheetId="8">#REF!</definedName>
    <definedName name="__obl181" localSheetId="9">#REF!</definedName>
    <definedName name="__obl181" localSheetId="14">#REF!</definedName>
    <definedName name="__obl181">#REF!</definedName>
    <definedName name="__obl1816" localSheetId="1">#REF!</definedName>
    <definedName name="__obl1816" localSheetId="2">#REF!</definedName>
    <definedName name="__obl1816" localSheetId="8">#REF!</definedName>
    <definedName name="__obl1816" localSheetId="9">#REF!</definedName>
    <definedName name="__obl1816" localSheetId="14">#REF!</definedName>
    <definedName name="__obl1816">#REF!</definedName>
    <definedName name="__obl1820" localSheetId="1">#REF!</definedName>
    <definedName name="__obl1820" localSheetId="2">#REF!</definedName>
    <definedName name="__obl1820" localSheetId="8">#REF!</definedName>
    <definedName name="__obl1820" localSheetId="9">#REF!</definedName>
    <definedName name="__obl1820" localSheetId="14">#REF!</definedName>
    <definedName name="__obl1820">#REF!</definedName>
    <definedName name="__obl1821" localSheetId="1">#REF!</definedName>
    <definedName name="__obl1821" localSheetId="2">#REF!</definedName>
    <definedName name="__obl1821" localSheetId="8">#REF!</definedName>
    <definedName name="__obl1821" localSheetId="9">#REF!</definedName>
    <definedName name="__obl1821" localSheetId="14">#REF!</definedName>
    <definedName name="__obl1821">#REF!</definedName>
    <definedName name="__obl1822" localSheetId="1">#REF!</definedName>
    <definedName name="__obl1822" localSheetId="2">#REF!</definedName>
    <definedName name="__obl1822" localSheetId="8">#REF!</definedName>
    <definedName name="__obl1822" localSheetId="9">#REF!</definedName>
    <definedName name="__obl1822" localSheetId="14">#REF!</definedName>
    <definedName name="__obl1822">#REF!</definedName>
    <definedName name="__obl1823" localSheetId="1">#REF!</definedName>
    <definedName name="__obl1823" localSheetId="2">#REF!</definedName>
    <definedName name="__obl1823" localSheetId="8">#REF!</definedName>
    <definedName name="__obl1823" localSheetId="9">#REF!</definedName>
    <definedName name="__obl1823" localSheetId="14">#REF!</definedName>
    <definedName name="__obl1823">#REF!</definedName>
    <definedName name="__obl1824" localSheetId="1">#REF!</definedName>
    <definedName name="__obl1824" localSheetId="2">#REF!</definedName>
    <definedName name="__obl1824" localSheetId="8">#REF!</definedName>
    <definedName name="__obl1824" localSheetId="9">#REF!</definedName>
    <definedName name="__obl1824" localSheetId="14">#REF!</definedName>
    <definedName name="__obl1824">#REF!</definedName>
    <definedName name="__obl1825" localSheetId="1">#REF!</definedName>
    <definedName name="__obl1825" localSheetId="2">#REF!</definedName>
    <definedName name="__obl1825" localSheetId="8">#REF!</definedName>
    <definedName name="__obl1825" localSheetId="9">#REF!</definedName>
    <definedName name="__obl1825" localSheetId="14">#REF!</definedName>
    <definedName name="__obl1825">#REF!</definedName>
    <definedName name="__obl1826" localSheetId="1">#REF!</definedName>
    <definedName name="__obl1826" localSheetId="2">#REF!</definedName>
    <definedName name="__obl1826" localSheetId="8">#REF!</definedName>
    <definedName name="__obl1826" localSheetId="9">#REF!</definedName>
    <definedName name="__obl1826" localSheetId="14">#REF!</definedName>
    <definedName name="__obl1826">#REF!</definedName>
    <definedName name="__obl1827" localSheetId="1">#REF!</definedName>
    <definedName name="__obl1827" localSheetId="2">#REF!</definedName>
    <definedName name="__obl1827" localSheetId="8">#REF!</definedName>
    <definedName name="__obl1827" localSheetId="9">#REF!</definedName>
    <definedName name="__obl1827" localSheetId="14">#REF!</definedName>
    <definedName name="__obl1827">#REF!</definedName>
    <definedName name="__obl1828" localSheetId="1">#REF!</definedName>
    <definedName name="__obl1828" localSheetId="2">#REF!</definedName>
    <definedName name="__obl1828" localSheetId="8">#REF!</definedName>
    <definedName name="__obl1828" localSheetId="9">#REF!</definedName>
    <definedName name="__obl1828" localSheetId="14">#REF!</definedName>
    <definedName name="__obl1828">#REF!</definedName>
    <definedName name="__obl1829" localSheetId="1">#REF!</definedName>
    <definedName name="__obl1829" localSheetId="2">#REF!</definedName>
    <definedName name="__obl1829" localSheetId="8">#REF!</definedName>
    <definedName name="__obl1829" localSheetId="9">#REF!</definedName>
    <definedName name="__obl1829" localSheetId="14">#REF!</definedName>
    <definedName name="__obl1829">#REF!</definedName>
    <definedName name="__obl183" localSheetId="1">#REF!</definedName>
    <definedName name="__obl183" localSheetId="2">#REF!</definedName>
    <definedName name="__obl183" localSheetId="8">#REF!</definedName>
    <definedName name="__obl183" localSheetId="9">#REF!</definedName>
    <definedName name="__obl183" localSheetId="14">#REF!</definedName>
    <definedName name="__obl183">#REF!</definedName>
    <definedName name="__obl1831" localSheetId="1">#REF!</definedName>
    <definedName name="__obl1831" localSheetId="2">#REF!</definedName>
    <definedName name="__obl1831" localSheetId="8">#REF!</definedName>
    <definedName name="__obl1831" localSheetId="9">#REF!</definedName>
    <definedName name="__obl1831" localSheetId="14">#REF!</definedName>
    <definedName name="__obl1831">#REF!</definedName>
    <definedName name="__obl1832" localSheetId="1">#REF!</definedName>
    <definedName name="__obl1832" localSheetId="2">#REF!</definedName>
    <definedName name="__obl1832" localSheetId="8">#REF!</definedName>
    <definedName name="__obl1832" localSheetId="9">#REF!</definedName>
    <definedName name="__obl1832" localSheetId="14">#REF!</definedName>
    <definedName name="__obl1832">#REF!</definedName>
    <definedName name="__obl184" localSheetId="1">#REF!</definedName>
    <definedName name="__obl184" localSheetId="2">#REF!</definedName>
    <definedName name="__obl184" localSheetId="8">#REF!</definedName>
    <definedName name="__obl184" localSheetId="9">#REF!</definedName>
    <definedName name="__obl184" localSheetId="14">#REF!</definedName>
    <definedName name="__obl184">#REF!</definedName>
    <definedName name="__obl185" localSheetId="1">#REF!</definedName>
    <definedName name="__obl185" localSheetId="2">#REF!</definedName>
    <definedName name="__obl185" localSheetId="8">#REF!</definedName>
    <definedName name="__obl185" localSheetId="9">#REF!</definedName>
    <definedName name="__obl185" localSheetId="14">#REF!</definedName>
    <definedName name="__obl185">#REF!</definedName>
    <definedName name="__obl186" localSheetId="1">#REF!</definedName>
    <definedName name="__obl186" localSheetId="2">#REF!</definedName>
    <definedName name="__obl186" localSheetId="8">#REF!</definedName>
    <definedName name="__obl186" localSheetId="9">#REF!</definedName>
    <definedName name="__obl186" localSheetId="14">#REF!</definedName>
    <definedName name="__obl186">#REF!</definedName>
    <definedName name="__obl187" localSheetId="1">#REF!</definedName>
    <definedName name="__obl187" localSheetId="2">#REF!</definedName>
    <definedName name="__obl187" localSheetId="8">#REF!</definedName>
    <definedName name="__obl187" localSheetId="9">#REF!</definedName>
    <definedName name="__obl187" localSheetId="14">#REF!</definedName>
    <definedName name="__obl187">#REF!</definedName>
    <definedName name="_xlnm._FilterDatabase" localSheetId="10" hidden="1">'2.2.H Zdravotechnika'!$C$6:$K$70</definedName>
    <definedName name="_xlnm._FilterDatabase" localSheetId="11" hidden="1">'2.2.M Zdravotechnika'!$C$6:$K$10</definedName>
    <definedName name="_obl11" localSheetId="1">#REF!</definedName>
    <definedName name="_obl11" localSheetId="2">#REF!</definedName>
    <definedName name="_obl11" localSheetId="4">#REF!</definedName>
    <definedName name="_obl11" localSheetId="6">#REF!</definedName>
    <definedName name="_obl11" localSheetId="7">#REF!</definedName>
    <definedName name="_obl11" localSheetId="8">#REF!</definedName>
    <definedName name="_obl11" localSheetId="9">#REF!</definedName>
    <definedName name="_obl11" localSheetId="11">#REF!</definedName>
    <definedName name="_obl11" localSheetId="13">#REF!</definedName>
    <definedName name="_obl11" localSheetId="14">#REF!</definedName>
    <definedName name="_obl11" localSheetId="15">#REF!</definedName>
    <definedName name="_obl11">#REF!</definedName>
    <definedName name="_obl12" localSheetId="1">#REF!</definedName>
    <definedName name="_obl12" localSheetId="2">#REF!</definedName>
    <definedName name="_obl12" localSheetId="8">#REF!</definedName>
    <definedName name="_obl12" localSheetId="9">#REF!</definedName>
    <definedName name="_obl12" localSheetId="14">#REF!</definedName>
    <definedName name="_obl12">#REF!</definedName>
    <definedName name="_obl13" localSheetId="1">#REF!</definedName>
    <definedName name="_obl13" localSheetId="2">#REF!</definedName>
    <definedName name="_obl13" localSheetId="8">#REF!</definedName>
    <definedName name="_obl13" localSheetId="9">#REF!</definedName>
    <definedName name="_obl13" localSheetId="14">#REF!</definedName>
    <definedName name="_obl13">#REF!</definedName>
    <definedName name="_obl14" localSheetId="1">#REF!</definedName>
    <definedName name="_obl14" localSheetId="2">#REF!</definedName>
    <definedName name="_obl14" localSheetId="8">#REF!</definedName>
    <definedName name="_obl14" localSheetId="9">#REF!</definedName>
    <definedName name="_obl14" localSheetId="14">#REF!</definedName>
    <definedName name="_obl14">#REF!</definedName>
    <definedName name="_obl15" localSheetId="1">#REF!</definedName>
    <definedName name="_obl15" localSheetId="2">#REF!</definedName>
    <definedName name="_obl15" localSheetId="8">#REF!</definedName>
    <definedName name="_obl15" localSheetId="9">#REF!</definedName>
    <definedName name="_obl15" localSheetId="14">#REF!</definedName>
    <definedName name="_obl15">#REF!</definedName>
    <definedName name="_obl16" localSheetId="1">#REF!</definedName>
    <definedName name="_obl16" localSheetId="2">#REF!</definedName>
    <definedName name="_obl16" localSheetId="8">#REF!</definedName>
    <definedName name="_obl16" localSheetId="9">#REF!</definedName>
    <definedName name="_obl16" localSheetId="14">#REF!</definedName>
    <definedName name="_obl16">#REF!</definedName>
    <definedName name="_obl17" localSheetId="1">#REF!</definedName>
    <definedName name="_obl17" localSheetId="2">#REF!</definedName>
    <definedName name="_obl17" localSheetId="8">#REF!</definedName>
    <definedName name="_obl17" localSheetId="9">#REF!</definedName>
    <definedName name="_obl17" localSheetId="14">#REF!</definedName>
    <definedName name="_obl17">#REF!</definedName>
    <definedName name="_obl1710" localSheetId="1">#REF!</definedName>
    <definedName name="_obl1710" localSheetId="2">#REF!</definedName>
    <definedName name="_obl1710" localSheetId="8">#REF!</definedName>
    <definedName name="_obl1710" localSheetId="9">#REF!</definedName>
    <definedName name="_obl1710" localSheetId="14">#REF!</definedName>
    <definedName name="_obl1710">#REF!</definedName>
    <definedName name="_obl1711" localSheetId="1">#REF!</definedName>
    <definedName name="_obl1711" localSheetId="2">#REF!</definedName>
    <definedName name="_obl1711" localSheetId="8">#REF!</definedName>
    <definedName name="_obl1711" localSheetId="9">#REF!</definedName>
    <definedName name="_obl1711" localSheetId="14">#REF!</definedName>
    <definedName name="_obl1711">#REF!</definedName>
    <definedName name="_obl1712" localSheetId="1">#REF!</definedName>
    <definedName name="_obl1712" localSheetId="2">#REF!</definedName>
    <definedName name="_obl1712" localSheetId="8">#REF!</definedName>
    <definedName name="_obl1712" localSheetId="9">#REF!</definedName>
    <definedName name="_obl1712" localSheetId="14">#REF!</definedName>
    <definedName name="_obl1712">#REF!</definedName>
    <definedName name="_obl1713" localSheetId="1">#REF!</definedName>
    <definedName name="_obl1713" localSheetId="2">#REF!</definedName>
    <definedName name="_obl1713" localSheetId="8">#REF!</definedName>
    <definedName name="_obl1713" localSheetId="9">#REF!</definedName>
    <definedName name="_obl1713" localSheetId="14">#REF!</definedName>
    <definedName name="_obl1713">#REF!</definedName>
    <definedName name="_obl1714" localSheetId="1">#REF!</definedName>
    <definedName name="_obl1714" localSheetId="2">#REF!</definedName>
    <definedName name="_obl1714" localSheetId="8">#REF!</definedName>
    <definedName name="_obl1714" localSheetId="9">#REF!</definedName>
    <definedName name="_obl1714" localSheetId="14">#REF!</definedName>
    <definedName name="_obl1714">#REF!</definedName>
    <definedName name="_obl1715" localSheetId="1">#REF!</definedName>
    <definedName name="_obl1715" localSheetId="2">#REF!</definedName>
    <definedName name="_obl1715" localSheetId="8">#REF!</definedName>
    <definedName name="_obl1715" localSheetId="9">#REF!</definedName>
    <definedName name="_obl1715" localSheetId="14">#REF!</definedName>
    <definedName name="_obl1715">#REF!</definedName>
    <definedName name="_obl1716" localSheetId="1">#REF!</definedName>
    <definedName name="_obl1716" localSheetId="2">#REF!</definedName>
    <definedName name="_obl1716" localSheetId="8">#REF!</definedName>
    <definedName name="_obl1716" localSheetId="9">#REF!</definedName>
    <definedName name="_obl1716" localSheetId="14">#REF!</definedName>
    <definedName name="_obl1716">#REF!</definedName>
    <definedName name="_obl1717" localSheetId="1">#REF!</definedName>
    <definedName name="_obl1717" localSheetId="2">#REF!</definedName>
    <definedName name="_obl1717" localSheetId="8">#REF!</definedName>
    <definedName name="_obl1717" localSheetId="9">#REF!</definedName>
    <definedName name="_obl1717" localSheetId="14">#REF!</definedName>
    <definedName name="_obl1717">#REF!</definedName>
    <definedName name="_obl1718" localSheetId="1">#REF!</definedName>
    <definedName name="_obl1718" localSheetId="2">#REF!</definedName>
    <definedName name="_obl1718" localSheetId="8">#REF!</definedName>
    <definedName name="_obl1718" localSheetId="9">#REF!</definedName>
    <definedName name="_obl1718" localSheetId="14">#REF!</definedName>
    <definedName name="_obl1718">#REF!</definedName>
    <definedName name="_obl1719" localSheetId="1">#REF!</definedName>
    <definedName name="_obl1719" localSheetId="2">#REF!</definedName>
    <definedName name="_obl1719" localSheetId="8">#REF!</definedName>
    <definedName name="_obl1719" localSheetId="9">#REF!</definedName>
    <definedName name="_obl1719" localSheetId="14">#REF!</definedName>
    <definedName name="_obl1719">#REF!</definedName>
    <definedName name="_obl173" localSheetId="1">#REF!</definedName>
    <definedName name="_obl173" localSheetId="2">#REF!</definedName>
    <definedName name="_obl173" localSheetId="8">#REF!</definedName>
    <definedName name="_obl173" localSheetId="9">#REF!</definedName>
    <definedName name="_obl173" localSheetId="14">#REF!</definedName>
    <definedName name="_obl173">#REF!</definedName>
    <definedName name="_obl174" localSheetId="1">#REF!</definedName>
    <definedName name="_obl174" localSheetId="2">#REF!</definedName>
    <definedName name="_obl174" localSheetId="8">#REF!</definedName>
    <definedName name="_obl174" localSheetId="9">#REF!</definedName>
    <definedName name="_obl174" localSheetId="14">#REF!</definedName>
    <definedName name="_obl174">#REF!</definedName>
    <definedName name="_obl175" localSheetId="1">#REF!</definedName>
    <definedName name="_obl175" localSheetId="2">#REF!</definedName>
    <definedName name="_obl175" localSheetId="8">#REF!</definedName>
    <definedName name="_obl175" localSheetId="9">#REF!</definedName>
    <definedName name="_obl175" localSheetId="14">#REF!</definedName>
    <definedName name="_obl175">#REF!</definedName>
    <definedName name="_obl176" localSheetId="1">#REF!</definedName>
    <definedName name="_obl176" localSheetId="2">#REF!</definedName>
    <definedName name="_obl176" localSheetId="8">#REF!</definedName>
    <definedName name="_obl176" localSheetId="9">#REF!</definedName>
    <definedName name="_obl176" localSheetId="14">#REF!</definedName>
    <definedName name="_obl176">#REF!</definedName>
    <definedName name="_obl177" localSheetId="1">#REF!</definedName>
    <definedName name="_obl177" localSheetId="2">#REF!</definedName>
    <definedName name="_obl177" localSheetId="8">#REF!</definedName>
    <definedName name="_obl177" localSheetId="9">#REF!</definedName>
    <definedName name="_obl177" localSheetId="14">#REF!</definedName>
    <definedName name="_obl177">#REF!</definedName>
    <definedName name="_obl178" localSheetId="1">#REF!</definedName>
    <definedName name="_obl178" localSheetId="2">#REF!</definedName>
    <definedName name="_obl178" localSheetId="8">#REF!</definedName>
    <definedName name="_obl178" localSheetId="9">#REF!</definedName>
    <definedName name="_obl178" localSheetId="14">#REF!</definedName>
    <definedName name="_obl178">#REF!</definedName>
    <definedName name="_obl179" localSheetId="1">#REF!</definedName>
    <definedName name="_obl179" localSheetId="2">#REF!</definedName>
    <definedName name="_obl179" localSheetId="8">#REF!</definedName>
    <definedName name="_obl179" localSheetId="9">#REF!</definedName>
    <definedName name="_obl179" localSheetId="14">#REF!</definedName>
    <definedName name="_obl179">#REF!</definedName>
    <definedName name="_obl18" localSheetId="1">#REF!</definedName>
    <definedName name="_obl18" localSheetId="2">#REF!</definedName>
    <definedName name="_obl18" localSheetId="8">#REF!</definedName>
    <definedName name="_obl18" localSheetId="9">#REF!</definedName>
    <definedName name="_obl18" localSheetId="14">#REF!</definedName>
    <definedName name="_obl18">#REF!</definedName>
    <definedName name="_obl181" localSheetId="1">#REF!</definedName>
    <definedName name="_obl181" localSheetId="2">#REF!</definedName>
    <definedName name="_obl181" localSheetId="8">#REF!</definedName>
    <definedName name="_obl181" localSheetId="9">#REF!</definedName>
    <definedName name="_obl181" localSheetId="14">#REF!</definedName>
    <definedName name="_obl181">#REF!</definedName>
    <definedName name="_obl1816" localSheetId="1">#REF!</definedName>
    <definedName name="_obl1816" localSheetId="2">#REF!</definedName>
    <definedName name="_obl1816" localSheetId="8">#REF!</definedName>
    <definedName name="_obl1816" localSheetId="9">#REF!</definedName>
    <definedName name="_obl1816" localSheetId="14">#REF!</definedName>
    <definedName name="_obl1816">#REF!</definedName>
    <definedName name="_obl1820" localSheetId="1">#REF!</definedName>
    <definedName name="_obl1820" localSheetId="2">#REF!</definedName>
    <definedName name="_obl1820" localSheetId="8">#REF!</definedName>
    <definedName name="_obl1820" localSheetId="9">#REF!</definedName>
    <definedName name="_obl1820" localSheetId="14">#REF!</definedName>
    <definedName name="_obl1820">#REF!</definedName>
    <definedName name="_obl1821" localSheetId="1">#REF!</definedName>
    <definedName name="_obl1821" localSheetId="2">#REF!</definedName>
    <definedName name="_obl1821" localSheetId="8">#REF!</definedName>
    <definedName name="_obl1821" localSheetId="9">#REF!</definedName>
    <definedName name="_obl1821" localSheetId="14">#REF!</definedName>
    <definedName name="_obl1821">#REF!</definedName>
    <definedName name="_obl1822" localSheetId="1">#REF!</definedName>
    <definedName name="_obl1822" localSheetId="2">#REF!</definedName>
    <definedName name="_obl1822" localSheetId="8">#REF!</definedName>
    <definedName name="_obl1822" localSheetId="9">#REF!</definedName>
    <definedName name="_obl1822" localSheetId="14">#REF!</definedName>
    <definedName name="_obl1822">#REF!</definedName>
    <definedName name="_obl1823" localSheetId="1">#REF!</definedName>
    <definedName name="_obl1823" localSheetId="2">#REF!</definedName>
    <definedName name="_obl1823" localSheetId="8">#REF!</definedName>
    <definedName name="_obl1823" localSheetId="9">#REF!</definedName>
    <definedName name="_obl1823" localSheetId="14">#REF!</definedName>
    <definedName name="_obl1823">#REF!</definedName>
    <definedName name="_obl1824" localSheetId="1">#REF!</definedName>
    <definedName name="_obl1824" localSheetId="2">#REF!</definedName>
    <definedName name="_obl1824" localSheetId="8">#REF!</definedName>
    <definedName name="_obl1824" localSheetId="9">#REF!</definedName>
    <definedName name="_obl1824" localSheetId="14">#REF!</definedName>
    <definedName name="_obl1824">#REF!</definedName>
    <definedName name="_obl1825" localSheetId="1">#REF!</definedName>
    <definedName name="_obl1825" localSheetId="2">#REF!</definedName>
    <definedName name="_obl1825" localSheetId="8">#REF!</definedName>
    <definedName name="_obl1825" localSheetId="9">#REF!</definedName>
    <definedName name="_obl1825" localSheetId="14">#REF!</definedName>
    <definedName name="_obl1825">#REF!</definedName>
    <definedName name="_obl1826" localSheetId="1">#REF!</definedName>
    <definedName name="_obl1826" localSheetId="2">#REF!</definedName>
    <definedName name="_obl1826" localSheetId="8">#REF!</definedName>
    <definedName name="_obl1826" localSheetId="9">#REF!</definedName>
    <definedName name="_obl1826" localSheetId="14">#REF!</definedName>
    <definedName name="_obl1826">#REF!</definedName>
    <definedName name="_obl1827" localSheetId="1">#REF!</definedName>
    <definedName name="_obl1827" localSheetId="2">#REF!</definedName>
    <definedName name="_obl1827" localSheetId="8">#REF!</definedName>
    <definedName name="_obl1827" localSheetId="9">#REF!</definedName>
    <definedName name="_obl1827" localSheetId="14">#REF!</definedName>
    <definedName name="_obl1827">#REF!</definedName>
    <definedName name="_obl1828" localSheetId="1">#REF!</definedName>
    <definedName name="_obl1828" localSheetId="2">#REF!</definedName>
    <definedName name="_obl1828" localSheetId="8">#REF!</definedName>
    <definedName name="_obl1828" localSheetId="9">#REF!</definedName>
    <definedName name="_obl1828" localSheetId="14">#REF!</definedName>
    <definedName name="_obl1828">#REF!</definedName>
    <definedName name="_obl1829" localSheetId="1">#REF!</definedName>
    <definedName name="_obl1829" localSheetId="2">#REF!</definedName>
    <definedName name="_obl1829" localSheetId="8">#REF!</definedName>
    <definedName name="_obl1829" localSheetId="9">#REF!</definedName>
    <definedName name="_obl1829" localSheetId="14">#REF!</definedName>
    <definedName name="_obl1829">#REF!</definedName>
    <definedName name="_obl183" localSheetId="1">#REF!</definedName>
    <definedName name="_obl183" localSheetId="2">#REF!</definedName>
    <definedName name="_obl183" localSheetId="8">#REF!</definedName>
    <definedName name="_obl183" localSheetId="9">#REF!</definedName>
    <definedName name="_obl183" localSheetId="14">#REF!</definedName>
    <definedName name="_obl183">#REF!</definedName>
    <definedName name="_obl1831" localSheetId="1">#REF!</definedName>
    <definedName name="_obl1831" localSheetId="2">#REF!</definedName>
    <definedName name="_obl1831" localSheetId="8">#REF!</definedName>
    <definedName name="_obl1831" localSheetId="9">#REF!</definedName>
    <definedName name="_obl1831" localSheetId="14">#REF!</definedName>
    <definedName name="_obl1831">#REF!</definedName>
    <definedName name="_obl1832" localSheetId="1">#REF!</definedName>
    <definedName name="_obl1832" localSheetId="2">#REF!</definedName>
    <definedName name="_obl1832" localSheetId="8">#REF!</definedName>
    <definedName name="_obl1832" localSheetId="9">#REF!</definedName>
    <definedName name="_obl1832" localSheetId="14">#REF!</definedName>
    <definedName name="_obl1832">#REF!</definedName>
    <definedName name="_obl184" localSheetId="1">#REF!</definedName>
    <definedName name="_obl184" localSheetId="2">#REF!</definedName>
    <definedName name="_obl184" localSheetId="8">#REF!</definedName>
    <definedName name="_obl184" localSheetId="9">#REF!</definedName>
    <definedName name="_obl184" localSheetId="14">#REF!</definedName>
    <definedName name="_obl184">#REF!</definedName>
    <definedName name="_obl185" localSheetId="1">#REF!</definedName>
    <definedName name="_obl185" localSheetId="2">#REF!</definedName>
    <definedName name="_obl185" localSheetId="8">#REF!</definedName>
    <definedName name="_obl185" localSheetId="9">#REF!</definedName>
    <definedName name="_obl185" localSheetId="14">#REF!</definedName>
    <definedName name="_obl185">#REF!</definedName>
    <definedName name="_obl186" localSheetId="1">#REF!</definedName>
    <definedName name="_obl186" localSheetId="2">#REF!</definedName>
    <definedName name="_obl186" localSheetId="8">#REF!</definedName>
    <definedName name="_obl186" localSheetId="9">#REF!</definedName>
    <definedName name="_obl186" localSheetId="14">#REF!</definedName>
    <definedName name="_obl186">#REF!</definedName>
    <definedName name="_obl187" localSheetId="1">#REF!</definedName>
    <definedName name="_obl187" localSheetId="2">#REF!</definedName>
    <definedName name="_obl187" localSheetId="8">#REF!</definedName>
    <definedName name="_obl187" localSheetId="9">#REF!</definedName>
    <definedName name="_obl187" localSheetId="14">#REF!</definedName>
    <definedName name="_obl187">#REF!</definedName>
    <definedName name="_SO16" localSheetId="2">{#N/A,#N/A,TRUE,"Krycí list"}</definedName>
    <definedName name="_SO16" localSheetId="4">{#N/A,#N/A,TRUE,"Krycí list"}</definedName>
    <definedName name="_SO16" localSheetId="6">{#N/A,#N/A,TRUE,"Krycí list"}</definedName>
    <definedName name="_SO16" localSheetId="7">{#N/A,#N/A,TRUE,"Krycí list"}</definedName>
    <definedName name="_SO16" localSheetId="9">{#N/A,#N/A,TRUE,"Krycí list"}</definedName>
    <definedName name="_SO16" localSheetId="11">{#N/A,#N/A,TRUE,"Krycí list"}</definedName>
    <definedName name="_SO16" localSheetId="13">{#N/A,#N/A,TRUE,"Krycí list"}</definedName>
    <definedName name="_SO16" localSheetId="15">{#N/A,#N/A,TRUE,"Krycí list"}</definedName>
    <definedName name="_SO16" localSheetId="0">{#N/A,#N/A,TRUE,"Krycí list"}</definedName>
    <definedName name="_SO16">{#N/A,#N/A,TRUE,"Krycí list"}</definedName>
    <definedName name="_VZT1" localSheetId="1">SCHEDULED_PAYMENT+EXTRA_PAYMENT</definedName>
    <definedName name="_VZT1" localSheetId="2">SCHEDULED_PAYMENT+EXTRA_PAYMENT</definedName>
    <definedName name="_VZT1" localSheetId="4">SCHEDULED_PAYMENT+EXTRA_PAYMENT</definedName>
    <definedName name="_VZT1" localSheetId="6">SCHEDULED_PAYMENT+EXTRA_PAYMENT</definedName>
    <definedName name="_VZT1" localSheetId="7">SCHEDULED_PAYMENT+EXTRA_PAYMENT</definedName>
    <definedName name="_VZT1" localSheetId="8">SCHEDULED_PAYMENT+EXTRA_PAYMENT</definedName>
    <definedName name="_VZT1" localSheetId="9">SCHEDULED_PAYMENT+EXTRA_PAYMENT</definedName>
    <definedName name="_VZT1" localSheetId="11">SCHEDULED_PAYMENT+EXTRA_PAYMENT</definedName>
    <definedName name="_VZT1" localSheetId="13">SCHEDULED_PAYMENT+EXTRA_PAYMENT</definedName>
    <definedName name="_VZT1" localSheetId="14">SCHEDULED_PAYMENT+EXTRA_PAYMENT</definedName>
    <definedName name="_VZT1" localSheetId="15">SCHEDULED_PAYMENT+EXTRA_PAYMENT</definedName>
    <definedName name="_VZT1" localSheetId="0">SCHEDULED_PAYMENT+EXTRA_PAYMENT</definedName>
    <definedName name="_VZT1">SCHEDULED_PAYMENT+EXTRA_PAYMENT</definedName>
    <definedName name="_VZT2" localSheetId="1">DATE(YEAR(#NAME?),MONTH(#NAME?)+PAYMENT_NUMBER,DAY(#NAME?))</definedName>
    <definedName name="_VZT2" localSheetId="2">DATE(YEAR(#NAME?),MONTH(#NAME?)+PAYMENT_NUMBER,DAY(#NAME?))</definedName>
    <definedName name="_VZT2" localSheetId="4">DATE(YEAR(#NAME?),MONTH(#NAME?)+PAYMENT_NUMBER,DAY(#NAME?))</definedName>
    <definedName name="_VZT2" localSheetId="6">DATE(YEAR(#NAME?),MONTH(#NAME?)+PAYMENT_NUMBER,DAY(#NAME?))</definedName>
    <definedName name="_VZT2" localSheetId="7">DATE(YEAR(#NAME?),MONTH(#NAME?)+PAYMENT_NUMBER,DAY(#NAME?))</definedName>
    <definedName name="_VZT2" localSheetId="8">DATE(YEAR(#NAME?),MONTH(#NAME?)+PAYMENT_NUMBER,DAY(#NAME?))</definedName>
    <definedName name="_VZT2" localSheetId="9">DATE(YEAR(#NAME?),MONTH(#NAME?)+PAYMENT_NUMBER,DAY(#NAME?))</definedName>
    <definedName name="_VZT2" localSheetId="11">DATE(YEAR(#NAME?),MONTH(#NAME?)+PAYMENT_NUMBER,DAY(#NAME?))</definedName>
    <definedName name="_VZT2" localSheetId="13">DATE(YEAR(#NAME?),MONTH(#NAME?)+PAYMENT_NUMBER,DAY(#NAME?))</definedName>
    <definedName name="_VZT2" localSheetId="14">DATE(YEAR(#NAME?),MONTH(#NAME?)+PAYMENT_NUMBER,DAY(#NAME?))</definedName>
    <definedName name="_VZT2" localSheetId="15">DATE(YEAR(#NAME?),MONTH(#NAME?)+PAYMENT_NUMBER,DAY(#NAME?))</definedName>
    <definedName name="_VZT2" localSheetId="0">DATE(YEAR(#NAME?),MONTH(#NAME?)+PAYMENT_NUMBER,DAY(#NAME?))</definedName>
    <definedName name="_VZT2">DATE(YEAR(#NAME?),MONTH(#NAME?)+PAYMENT_NUMBER,DAY(#NAME?))</definedName>
    <definedName name="_vzt3" localSheetId="1">#REF!</definedName>
    <definedName name="_vzt3" localSheetId="2">#REF!</definedName>
    <definedName name="_vzt3" localSheetId="4">#REF!</definedName>
    <definedName name="_vzt3" localSheetId="6">#REF!</definedName>
    <definedName name="_vzt3" localSheetId="7">#REF!</definedName>
    <definedName name="_vzt3" localSheetId="8">#REF!</definedName>
    <definedName name="_vzt3" localSheetId="9">#REF!</definedName>
    <definedName name="_vzt3" localSheetId="11">#REF!</definedName>
    <definedName name="_vzt3" localSheetId="13">#REF!</definedName>
    <definedName name="_vzt3" localSheetId="14">#REF!</definedName>
    <definedName name="_vzt3" localSheetId="15">#REF!</definedName>
    <definedName name="_vzt3">#REF!</definedName>
    <definedName name="_VZT5" localSheetId="1">#REF!</definedName>
    <definedName name="_VZT5" localSheetId="2">#REF!</definedName>
    <definedName name="_VZT5" localSheetId="8">#REF!</definedName>
    <definedName name="_VZT5" localSheetId="9">#REF!</definedName>
    <definedName name="_VZT5" localSheetId="14">#REF!</definedName>
    <definedName name="_VZT5">#REF!</definedName>
    <definedName name="_VZT6" localSheetId="1">#REF!</definedName>
    <definedName name="_VZT6" localSheetId="2">#REF!</definedName>
    <definedName name="_VZT6" localSheetId="8">#REF!</definedName>
    <definedName name="_VZT6" localSheetId="9">#REF!</definedName>
    <definedName name="_VZT6" localSheetId="14">#REF!</definedName>
    <definedName name="_VZT6">#REF!</definedName>
    <definedName name="_VZT8" localSheetId="1">#REF!</definedName>
    <definedName name="_VZT8" localSheetId="2">#REF!</definedName>
    <definedName name="_VZT8" localSheetId="8">#REF!</definedName>
    <definedName name="_VZT8" localSheetId="9">#REF!</definedName>
    <definedName name="_VZT8" localSheetId="14">#REF!</definedName>
    <definedName name="_VZT8">#REF!</definedName>
    <definedName name="a" localSheetId="1">#REF!</definedName>
    <definedName name="a" localSheetId="2">#REF!</definedName>
    <definedName name="a" localSheetId="4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1">#REF!</definedName>
    <definedName name="a" localSheetId="13">#REF!</definedName>
    <definedName name="a" localSheetId="14">#REF!</definedName>
    <definedName name="a" localSheetId="15">#REF!</definedName>
    <definedName name="a">#REF!</definedName>
    <definedName name="aaaaaaaa" localSheetId="2">{#N/A,#N/A,TRUE,"Krycí list"}</definedName>
    <definedName name="aaaaaaaa" localSheetId="4">{#N/A,#N/A,TRUE,"Krycí list"}</definedName>
    <definedName name="aaaaaaaa" localSheetId="6">{#N/A,#N/A,TRUE,"Krycí list"}</definedName>
    <definedName name="aaaaaaaa" localSheetId="7">{#N/A,#N/A,TRUE,"Krycí list"}</definedName>
    <definedName name="aaaaaaaa" localSheetId="9">{#N/A,#N/A,TRUE,"Krycí list"}</definedName>
    <definedName name="aaaaaaaa" localSheetId="11">{#N/A,#N/A,TRUE,"Krycí list"}</definedName>
    <definedName name="aaaaaaaa" localSheetId="13">{#N/A,#N/A,TRUE,"Krycí list"}</definedName>
    <definedName name="aaaaaaaa" localSheetId="15">{#N/A,#N/A,TRUE,"Krycí list"}</definedName>
    <definedName name="aaaaaaaa" localSheetId="0">{#N/A,#N/A,TRUE,"Krycí list"}</definedName>
    <definedName name="aaaaaaaa">{#N/A,#N/A,TRUE,"Krycí list"}</definedName>
    <definedName name="Beg_Bal" localSheetId="1">#REF!</definedName>
    <definedName name="Beg_Bal" localSheetId="2">#REF!</definedName>
    <definedName name="Beg_Bal" localSheetId="7">#REF!</definedName>
    <definedName name="Beg_Bal" localSheetId="8">#REF!</definedName>
    <definedName name="Beg_Bal" localSheetId="9">#REF!</definedName>
    <definedName name="Beg_Bal" localSheetId="14">#REF!</definedName>
    <definedName name="Beg_Bal" localSheetId="15">#REF!</definedName>
    <definedName name="Beg_Bal">#REF!</definedName>
    <definedName name="bghrerr" localSheetId="1">#REF!</definedName>
    <definedName name="bghrerr" localSheetId="2">#REF!</definedName>
    <definedName name="bghrerr" localSheetId="8">#REF!</definedName>
    <definedName name="bghrerr" localSheetId="9">#REF!</definedName>
    <definedName name="bghrerr" localSheetId="14">#REF!</definedName>
    <definedName name="bghrerr">#REF!</definedName>
    <definedName name="bhvfdgvf" localSheetId="1">#REF!</definedName>
    <definedName name="bhvfdgvf" localSheetId="2">#REF!</definedName>
    <definedName name="bhvfdgvf" localSheetId="8">#REF!</definedName>
    <definedName name="bhvfdgvf" localSheetId="9">#REF!</definedName>
    <definedName name="bhvfdgvf" localSheetId="14">#REF!</definedName>
    <definedName name="bhvfdgvf">#REF!</definedName>
    <definedName name="body_celkem" localSheetId="1">#REF!</definedName>
    <definedName name="body_celkem" localSheetId="2">#REF!</definedName>
    <definedName name="body_celkem" localSheetId="8">#REF!</definedName>
    <definedName name="body_celkem" localSheetId="9">#REF!</definedName>
    <definedName name="body_celkem" localSheetId="14">#REF!</definedName>
    <definedName name="body_celkem">#REF!</definedName>
    <definedName name="body_kapitoly" localSheetId="1">#REF!</definedName>
    <definedName name="body_kapitoly" localSheetId="2">#REF!</definedName>
    <definedName name="body_kapitoly" localSheetId="8">#REF!</definedName>
    <definedName name="body_kapitoly" localSheetId="9">#REF!</definedName>
    <definedName name="body_kapitoly" localSheetId="14">#REF!</definedName>
    <definedName name="body_kapitoly">#REF!</definedName>
    <definedName name="body_pomocny" localSheetId="1">#REF!</definedName>
    <definedName name="body_pomocny" localSheetId="2">#REF!</definedName>
    <definedName name="body_pomocny" localSheetId="8">#REF!</definedName>
    <definedName name="body_pomocny" localSheetId="9">#REF!</definedName>
    <definedName name="body_pomocny" localSheetId="14">#REF!</definedName>
    <definedName name="body_pomocny">#REF!</definedName>
    <definedName name="body_rozpocty" localSheetId="1">#REF!</definedName>
    <definedName name="body_rozpocty" localSheetId="2">#REF!</definedName>
    <definedName name="body_rozpocty" localSheetId="8">#REF!</definedName>
    <definedName name="body_rozpocty" localSheetId="9">#REF!</definedName>
    <definedName name="body_rozpocty" localSheetId="14">#REF!</definedName>
    <definedName name="body_rozpocty">#REF!</definedName>
    <definedName name="category1" localSheetId="1">#REF!</definedName>
    <definedName name="category1" localSheetId="2">#REF!</definedName>
    <definedName name="category1" localSheetId="7">#REF!</definedName>
    <definedName name="category1" localSheetId="8">#REF!</definedName>
    <definedName name="category1" localSheetId="9">#REF!</definedName>
    <definedName name="category1" localSheetId="14">#REF!</definedName>
    <definedName name="category1" localSheetId="15">#REF!</definedName>
    <definedName name="category1">#REF!</definedName>
    <definedName name="CelkemObjekty" localSheetId="0">'KRYCÍ LIST'!$F$45</definedName>
    <definedName name="celkrozp" localSheetId="1">#REF!</definedName>
    <definedName name="celkrozp" localSheetId="2">#REF!</definedName>
    <definedName name="celkrozp" localSheetId="7">#REF!</definedName>
    <definedName name="celkrozp" localSheetId="8">#REF!</definedName>
    <definedName name="celkrozp" localSheetId="9">#REF!</definedName>
    <definedName name="celkrozp" localSheetId="14">#REF!</definedName>
    <definedName name="celkrozp" localSheetId="15">#REF!</definedName>
    <definedName name="celkrozp">#REF!</definedName>
    <definedName name="cisloobjektu" localSheetId="0">#REF!</definedName>
    <definedName name="CisloStavby" localSheetId="0">#REF!</definedName>
    <definedName name="d" localSheetId="2">{#N/A,#N/A,TRUE,"Krycí list"}</definedName>
    <definedName name="d" localSheetId="4">{#N/A,#N/A,TRUE,"Krycí list"}</definedName>
    <definedName name="d" localSheetId="6">{#N/A,#N/A,TRUE,"Krycí list"}</definedName>
    <definedName name="d" localSheetId="7">{#N/A,#N/A,TRUE,"Krycí list"}</definedName>
    <definedName name="d" localSheetId="9">{#N/A,#N/A,TRUE,"Krycí list"}</definedName>
    <definedName name="d" localSheetId="11">{#N/A,#N/A,TRUE,"Krycí list"}</definedName>
    <definedName name="d" localSheetId="13">{#N/A,#N/A,TRUE,"Krycí list"}</definedName>
    <definedName name="d" localSheetId="15">{#N/A,#N/A,TRUE,"Krycí list"}</definedName>
    <definedName name="d" localSheetId="0">{#N/A,#N/A,TRUE,"Krycí list"}</definedName>
    <definedName name="d">{#N/A,#N/A,TRUE,"Krycí list"}</definedName>
    <definedName name="dadresa" localSheetId="0">'KRYCÍ LIST'!$D$10</definedName>
    <definedName name="Data" localSheetId="1">#REF!</definedName>
    <definedName name="Data" localSheetId="2">#REF!</definedName>
    <definedName name="Data" localSheetId="7">#REF!</definedName>
    <definedName name="Data" localSheetId="8">#REF!</definedName>
    <definedName name="Data" localSheetId="9">#REF!</definedName>
    <definedName name="Data" localSheetId="14">#REF!</definedName>
    <definedName name="Data" localSheetId="15">#REF!</definedName>
    <definedName name="Data">#REF!</definedName>
    <definedName name="Datum" localSheetId="1">#REF!</definedName>
    <definedName name="Datum" localSheetId="2">#REF!</definedName>
    <definedName name="Datum" localSheetId="8">#REF!</definedName>
    <definedName name="Datum" localSheetId="9">#REF!</definedName>
    <definedName name="Datum" localSheetId="14">#REF!</definedName>
    <definedName name="Datum" localSheetId="0">#REF!</definedName>
    <definedName name="Datum">#REF!</definedName>
    <definedName name="dfdaf" localSheetId="1">#REF!</definedName>
    <definedName name="dfdaf" localSheetId="2">#REF!</definedName>
    <definedName name="dfdaf" localSheetId="8">#REF!</definedName>
    <definedName name="dfdaf" localSheetId="9">#REF!</definedName>
    <definedName name="dfdaf" localSheetId="14">#REF!</definedName>
    <definedName name="dfdaf">#REF!</definedName>
    <definedName name="DIČ" localSheetId="0">'KRYCÍ LIST'!$J$10</definedName>
    <definedName name="Dil" localSheetId="1">#REF!</definedName>
    <definedName name="Dil" localSheetId="2">#REF!</definedName>
    <definedName name="Dil" localSheetId="8">#REF!</definedName>
    <definedName name="Dil" localSheetId="9">#REF!</definedName>
    <definedName name="Dil" localSheetId="14">#REF!</definedName>
    <definedName name="Dil" localSheetId="0">#REF!</definedName>
    <definedName name="Dil">#REF!</definedName>
    <definedName name="DKGJSDGS" localSheetId="1">#REF!</definedName>
    <definedName name="DKGJSDGS" localSheetId="2">#REF!</definedName>
    <definedName name="DKGJSDGS" localSheetId="8">#REF!</definedName>
    <definedName name="DKGJSDGS" localSheetId="9">#REF!</definedName>
    <definedName name="DKGJSDGS" localSheetId="14">#REF!</definedName>
    <definedName name="DKGJSDGS">#REF!</definedName>
    <definedName name="dmisto" localSheetId="0">#REF!</definedName>
    <definedName name="dod" localSheetId="1">#REF!</definedName>
    <definedName name="dod" localSheetId="2">#REF!</definedName>
    <definedName name="dod" localSheetId="4">#REF!</definedName>
    <definedName name="dod" localSheetId="6">#REF!</definedName>
    <definedName name="dod" localSheetId="7">#REF!</definedName>
    <definedName name="dod" localSheetId="8">#REF!</definedName>
    <definedName name="dod" localSheetId="9">#REF!</definedName>
    <definedName name="dod" localSheetId="11">#REF!</definedName>
    <definedName name="dod" localSheetId="13">#REF!</definedName>
    <definedName name="dod" localSheetId="14">#REF!</definedName>
    <definedName name="dod" localSheetId="15">#REF!</definedName>
    <definedName name="dod">#REF!</definedName>
    <definedName name="Dodavka" localSheetId="1">#REF!</definedName>
    <definedName name="Dodavka" localSheetId="2">#REF!</definedName>
    <definedName name="Dodavka" localSheetId="8">#REF!</definedName>
    <definedName name="Dodavka" localSheetId="9">#REF!</definedName>
    <definedName name="Dodavka" localSheetId="14">#REF!</definedName>
    <definedName name="Dodavka" localSheetId="0">#REF!</definedName>
    <definedName name="Dodavka">#REF!</definedName>
    <definedName name="Dodavka0" localSheetId="1">#REF!</definedName>
    <definedName name="Dodavka0" localSheetId="2">#REF!</definedName>
    <definedName name="Dodavka0" localSheetId="8">#REF!</definedName>
    <definedName name="Dodavka0" localSheetId="9">#REF!</definedName>
    <definedName name="Dodavka0" localSheetId="14">#REF!</definedName>
    <definedName name="Dodavka0">#REF!</definedName>
    <definedName name="dpsc" localSheetId="0">#REF!</definedName>
    <definedName name="dsfbhbg" localSheetId="1">#REF!</definedName>
    <definedName name="dsfbhbg" localSheetId="2">#REF!</definedName>
    <definedName name="dsfbhbg" localSheetId="7">#REF!</definedName>
    <definedName name="dsfbhbg" localSheetId="8">#REF!</definedName>
    <definedName name="dsfbhbg" localSheetId="9">#REF!</definedName>
    <definedName name="dsfbhbg" localSheetId="14">#REF!</definedName>
    <definedName name="dsfbhbg" localSheetId="15">#REF!</definedName>
    <definedName name="dsfbhbg">#REF!</definedName>
    <definedName name="End_Bal" localSheetId="1">#REF!</definedName>
    <definedName name="End_Bal" localSheetId="2">#REF!</definedName>
    <definedName name="End_Bal" localSheetId="8">#REF!</definedName>
    <definedName name="End_Bal" localSheetId="9">#REF!</definedName>
    <definedName name="End_Bal" localSheetId="14">#REF!</definedName>
    <definedName name="End_Bal">#REF!</definedName>
    <definedName name="exter1" localSheetId="1">#REF!</definedName>
    <definedName name="exter1" localSheetId="2">#REF!</definedName>
    <definedName name="exter1" localSheetId="8">#REF!</definedName>
    <definedName name="exter1" localSheetId="9">#REF!</definedName>
    <definedName name="exter1" localSheetId="14">#REF!</definedName>
    <definedName name="exter1">#REF!</definedName>
    <definedName name="Extra_Pay" localSheetId="1">#REF!</definedName>
    <definedName name="Extra_Pay" localSheetId="2">#REF!</definedName>
    <definedName name="Extra_Pay" localSheetId="8">#REF!</definedName>
    <definedName name="Extra_Pay" localSheetId="9">#REF!</definedName>
    <definedName name="Extra_Pay" localSheetId="14">#REF!</definedName>
    <definedName name="Extra_Pay">#REF!</definedName>
    <definedName name="f" localSheetId="1">#REF!</definedName>
    <definedName name="f" localSheetId="2">#REF!</definedName>
    <definedName name="f" localSheetId="8">#REF!</definedName>
    <definedName name="f" localSheetId="9">#REF!</definedName>
    <definedName name="f" localSheetId="14">#REF!</definedName>
    <definedName name="f">#REF!</definedName>
    <definedName name="Full_Print" localSheetId="1">#REF!</definedName>
    <definedName name="Full_Print" localSheetId="2">#REF!</definedName>
    <definedName name="Full_Print" localSheetId="8">#REF!</definedName>
    <definedName name="Full_Print" localSheetId="9">#REF!</definedName>
    <definedName name="Full_Print" localSheetId="14">#REF!</definedName>
    <definedName name="Full_Print">#REF!</definedName>
    <definedName name="ha" localSheetId="1">#REF!</definedName>
    <definedName name="ha" localSheetId="2">#REF!</definedName>
    <definedName name="ha" localSheetId="4">#REF!</definedName>
    <definedName name="ha" localSheetId="6">#REF!</definedName>
    <definedName name="ha" localSheetId="7">#REF!</definedName>
    <definedName name="ha" localSheetId="8">#REF!</definedName>
    <definedName name="ha" localSheetId="9">#REF!</definedName>
    <definedName name="ha" localSheetId="11">#REF!</definedName>
    <definedName name="ha" localSheetId="13">#REF!</definedName>
    <definedName name="ha" localSheetId="14">#REF!</definedName>
    <definedName name="ha" localSheetId="15">#REF!</definedName>
    <definedName name="ha">#REF!</definedName>
    <definedName name="Header_Row" localSheetId="1">ROW(#REF!)</definedName>
    <definedName name="Header_Row" localSheetId="2">ROW(#REF!)</definedName>
    <definedName name="Header_Row" localSheetId="8">ROW(#REF!)</definedName>
    <definedName name="Header_Row" localSheetId="9">ROW(#REF!)</definedName>
    <definedName name="Header_Row" localSheetId="14">ROW(#REF!)</definedName>
    <definedName name="Header_Row">ROW(#REF!)</definedName>
    <definedName name="hovno" localSheetId="1">#REF!</definedName>
    <definedName name="hovno" localSheetId="2">#REF!</definedName>
    <definedName name="hovno" localSheetId="8">#REF!</definedName>
    <definedName name="hovno" localSheetId="9">#REF!</definedName>
    <definedName name="hovno" localSheetId="14">#REF!</definedName>
    <definedName name="hovno">#REF!</definedName>
    <definedName name="hs" localSheetId="1">#REF!</definedName>
    <definedName name="hs" localSheetId="2">#REF!</definedName>
    <definedName name="hs" localSheetId="8">#REF!</definedName>
    <definedName name="hs" localSheetId="9">#REF!</definedName>
    <definedName name="hs" localSheetId="14">#REF!</definedName>
    <definedName name="hs">#REF!</definedName>
    <definedName name="HSV" localSheetId="1">#REF!</definedName>
    <definedName name="HSV" localSheetId="2">#REF!</definedName>
    <definedName name="HSV" localSheetId="8">#REF!</definedName>
    <definedName name="HSV" localSheetId="9">#REF!</definedName>
    <definedName name="HSV" localSheetId="14">#REF!</definedName>
    <definedName name="HSV" localSheetId="0">#REF!</definedName>
    <definedName name="HSV">#REF!</definedName>
    <definedName name="HSV0" localSheetId="1">#REF!</definedName>
    <definedName name="HSV0" localSheetId="2">#REF!</definedName>
    <definedName name="HSV0" localSheetId="8">#REF!</definedName>
    <definedName name="HSV0" localSheetId="9">#REF!</definedName>
    <definedName name="HSV0" localSheetId="14">#REF!</definedName>
    <definedName name="HSV0">#REF!</definedName>
    <definedName name="HZS" localSheetId="1">#REF!</definedName>
    <definedName name="HZS" localSheetId="2">#REF!</definedName>
    <definedName name="HZS" localSheetId="8">#REF!</definedName>
    <definedName name="HZS" localSheetId="9">#REF!</definedName>
    <definedName name="HZS" localSheetId="14">#REF!</definedName>
    <definedName name="HZS" localSheetId="0">#REF!</definedName>
    <definedName name="HZS">#REF!</definedName>
    <definedName name="HZS0" localSheetId="1">#REF!</definedName>
    <definedName name="HZS0" localSheetId="2">#REF!</definedName>
    <definedName name="HZS0" localSheetId="8">#REF!</definedName>
    <definedName name="HZS0" localSheetId="9">#REF!</definedName>
    <definedName name="HZS0" localSheetId="14">#REF!</definedName>
    <definedName name="HZS0">#REF!</definedName>
    <definedName name="IČO" localSheetId="0">'KRYCÍ LIST'!$J$9</definedName>
    <definedName name="Int" localSheetId="1">#REF!</definedName>
    <definedName name="Int" localSheetId="2">#REF!</definedName>
    <definedName name="Int" localSheetId="7">#REF!</definedName>
    <definedName name="Int" localSheetId="8">#REF!</definedName>
    <definedName name="Int" localSheetId="9">#REF!</definedName>
    <definedName name="Int" localSheetId="14">#REF!</definedName>
    <definedName name="Int" localSheetId="15">#REF!</definedName>
    <definedName name="Int">#REF!</definedName>
    <definedName name="inter1" localSheetId="1">#REF!</definedName>
    <definedName name="inter1" localSheetId="2">#REF!</definedName>
    <definedName name="inter1" localSheetId="8">#REF!</definedName>
    <definedName name="inter1" localSheetId="9">#REF!</definedName>
    <definedName name="inter1" localSheetId="14">#REF!</definedName>
    <definedName name="inter1">#REF!</definedName>
    <definedName name="Interest_Rate" localSheetId="1">#REF!</definedName>
    <definedName name="Interest_Rate" localSheetId="2">#REF!</definedName>
    <definedName name="Interest_Rate" localSheetId="8">#REF!</definedName>
    <definedName name="Interest_Rate" localSheetId="9">#REF!</definedName>
    <definedName name="Interest_Rate" localSheetId="14">#REF!</definedName>
    <definedName name="Interest_Rate">#REF!</definedName>
    <definedName name="JKSO" localSheetId="1">#REF!</definedName>
    <definedName name="JKSO" localSheetId="2">#REF!</definedName>
    <definedName name="JKSO" localSheetId="8">#REF!</definedName>
    <definedName name="JKSO" localSheetId="9">#REF!</definedName>
    <definedName name="JKSO" localSheetId="14">#REF!</definedName>
    <definedName name="JKSO" localSheetId="0">#REF!</definedName>
    <definedName name="JKSO">#REF!</definedName>
    <definedName name="jzzuggt" localSheetId="1">#REF!</definedName>
    <definedName name="jzzuggt" localSheetId="2">#REF!</definedName>
    <definedName name="jzzuggt" localSheetId="8">#REF!</definedName>
    <definedName name="jzzuggt" localSheetId="9">#REF!</definedName>
    <definedName name="jzzuggt" localSheetId="14">#REF!</definedName>
    <definedName name="jzzuggt">#REF!</definedName>
    <definedName name="Last_Row" localSheetId="1">#N/A</definedName>
    <definedName name="Last_Row" localSheetId="2">#N/A</definedName>
    <definedName name="Last_Row" localSheetId="4">#N/A</definedName>
    <definedName name="Last_Row" localSheetId="6">#N/A</definedName>
    <definedName name="Last_Row" localSheetId="7">#N/A</definedName>
    <definedName name="Last_Row" localSheetId="8">#N/A</definedName>
    <definedName name="Last_Row" localSheetId="9">#N/A</definedName>
    <definedName name="Last_Row" localSheetId="11">#N/A</definedName>
    <definedName name="Last_Row" localSheetId="13">#N/A</definedName>
    <definedName name="Last_Row" localSheetId="14">IF('2.4.H Elektroinstalace'!Values_Entered,'2.4.H Elektroinstalace'!Header_Row+'2.4.H Elektroinstalace'!Number_of_Payments,'2.4.H Elektroinstalace'!Header_Row)</definedName>
    <definedName name="Last_Row" localSheetId="15">#N/A</definedName>
    <definedName name="Last_Row" localSheetId="0">IF('2.4.H Elektroinstalace'!Values_Entered,Header_Row+'2.4.H Elektroinstalace'!Number_of_Payments,Header_Row)</definedName>
    <definedName name="Last_Row">IF('2.4.H Elektroinstalace'!Values_Entered,Header_Row+'2.4.H Elektroinstalace'!Number_of_Payments,Header_Row)</definedName>
    <definedName name="Light" localSheetId="2">{#N/A,#N/A,TRUE,"Krycí list"}</definedName>
    <definedName name="Light" localSheetId="4">{#N/A,#N/A,TRUE,"Krycí list"}</definedName>
    <definedName name="Light" localSheetId="6">{#N/A,#N/A,TRUE,"Krycí list"}</definedName>
    <definedName name="Light" localSheetId="7">{#N/A,#N/A,TRUE,"Krycí list"}</definedName>
    <definedName name="Light" localSheetId="9">{#N/A,#N/A,TRUE,"Krycí list"}</definedName>
    <definedName name="Light" localSheetId="11">{#N/A,#N/A,TRUE,"Krycí list"}</definedName>
    <definedName name="Light" localSheetId="13">{#N/A,#N/A,TRUE,"Krycí list"}</definedName>
    <definedName name="Light" localSheetId="15">{#N/A,#N/A,TRUE,"Krycí list"}</definedName>
    <definedName name="Light" localSheetId="0">{#N/A,#N/A,TRUE,"Krycí list"}</definedName>
    <definedName name="Light">{#N/A,#N/A,TRUE,"Krycí list"}</definedName>
    <definedName name="Lighting" localSheetId="2">{#N/A,#N/A,TRUE,"Krycí list"}</definedName>
    <definedName name="Lighting" localSheetId="4">{#N/A,#N/A,TRUE,"Krycí list"}</definedName>
    <definedName name="Lighting" localSheetId="6">{#N/A,#N/A,TRUE,"Krycí list"}</definedName>
    <definedName name="Lighting" localSheetId="7">{#N/A,#N/A,TRUE,"Krycí list"}</definedName>
    <definedName name="Lighting" localSheetId="9">{#N/A,#N/A,TRUE,"Krycí list"}</definedName>
    <definedName name="Lighting" localSheetId="11">{#N/A,#N/A,TRUE,"Krycí list"}</definedName>
    <definedName name="Lighting" localSheetId="13">{#N/A,#N/A,TRUE,"Krycí list"}</definedName>
    <definedName name="Lighting" localSheetId="15">{#N/A,#N/A,TRUE,"Krycí list"}</definedName>
    <definedName name="Lighting" localSheetId="0">{#N/A,#N/A,TRUE,"Krycí list"}</definedName>
    <definedName name="Lighting">{#N/A,#N/A,TRUE,"Krycí list"}</definedName>
    <definedName name="Loan_Amount" localSheetId="1">#REF!</definedName>
    <definedName name="Loan_Amount" localSheetId="2">#REF!</definedName>
    <definedName name="Loan_Amount" localSheetId="7">#REF!</definedName>
    <definedName name="Loan_Amount" localSheetId="8">#REF!</definedName>
    <definedName name="Loan_Amount" localSheetId="9">#REF!</definedName>
    <definedName name="Loan_Amount" localSheetId="14">#REF!</definedName>
    <definedName name="Loan_Amount" localSheetId="15">#REF!</definedName>
    <definedName name="Loan_Amount">#REF!</definedName>
    <definedName name="Loan_Start" localSheetId="1">#REF!</definedName>
    <definedName name="Loan_Start" localSheetId="2">#REF!</definedName>
    <definedName name="Loan_Start" localSheetId="8">#REF!</definedName>
    <definedName name="Loan_Start" localSheetId="9">#REF!</definedName>
    <definedName name="Loan_Start" localSheetId="14">#REF!</definedName>
    <definedName name="Loan_Start">#REF!</definedName>
    <definedName name="Loan_Years" localSheetId="1">#REF!</definedName>
    <definedName name="Loan_Years" localSheetId="2">#REF!</definedName>
    <definedName name="Loan_Years" localSheetId="8">#REF!</definedName>
    <definedName name="Loan_Years" localSheetId="9">#REF!</definedName>
    <definedName name="Loan_Years" localSheetId="14">#REF!</definedName>
    <definedName name="Loan_Years">#REF!</definedName>
    <definedName name="MaR" localSheetId="2">{#N/A,#N/A,TRUE,"Krycí list"}</definedName>
    <definedName name="MaR" localSheetId="4">{#N/A,#N/A,TRUE,"Krycí list"}</definedName>
    <definedName name="MaR" localSheetId="6">{#N/A,#N/A,TRUE,"Krycí list"}</definedName>
    <definedName name="MaR" localSheetId="7">{#N/A,#N/A,TRUE,"Krycí list"}</definedName>
    <definedName name="MaR" localSheetId="9">{#N/A,#N/A,TRUE,"Krycí list"}</definedName>
    <definedName name="MaR" localSheetId="11">{#N/A,#N/A,TRUE,"Krycí list"}</definedName>
    <definedName name="MaR" localSheetId="13">{#N/A,#N/A,TRUE,"Krycí list"}</definedName>
    <definedName name="MaR" localSheetId="15">{#N/A,#N/A,TRUE,"Krycí list"}</definedName>
    <definedName name="MaR" localSheetId="0">{#N/A,#N/A,TRUE,"Krycí list"}</definedName>
    <definedName name="MaR">{#N/A,#N/A,TRUE,"Krycí list"}</definedName>
    <definedName name="meraregulace" localSheetId="2">{#N/A,#N/A,TRUE,"Krycí list"}</definedName>
    <definedName name="meraregulace" localSheetId="4">{#N/A,#N/A,TRUE,"Krycí list"}</definedName>
    <definedName name="meraregulace" localSheetId="6">{#N/A,#N/A,TRUE,"Krycí list"}</definedName>
    <definedName name="meraregulace" localSheetId="7">{#N/A,#N/A,TRUE,"Krycí list"}</definedName>
    <definedName name="meraregulace" localSheetId="9">{#N/A,#N/A,TRUE,"Krycí list"}</definedName>
    <definedName name="meraregulace" localSheetId="11">{#N/A,#N/A,TRUE,"Krycí list"}</definedName>
    <definedName name="meraregulace" localSheetId="13">{#N/A,#N/A,TRUE,"Krycí list"}</definedName>
    <definedName name="meraregulace" localSheetId="15">{#N/A,#N/A,TRUE,"Krycí list"}</definedName>
    <definedName name="meraregulace" localSheetId="0">{#N/A,#N/A,TRUE,"Krycí list"}</definedName>
    <definedName name="meraregulace">{#N/A,#N/A,TRUE,"Krycí list"}</definedName>
    <definedName name="mereni" localSheetId="1">SCHEDULED_PAYMENT+EXTRA_PAYMENT</definedName>
    <definedName name="mereni" localSheetId="2">SCHEDULED_PAYMENT+EXTRA_PAYMENT</definedName>
    <definedName name="mereni" localSheetId="4">SCHEDULED_PAYMENT+EXTRA_PAYMENT</definedName>
    <definedName name="mereni" localSheetId="6">SCHEDULED_PAYMENT+EXTRA_PAYMENT</definedName>
    <definedName name="mereni" localSheetId="7">SCHEDULED_PAYMENT+EXTRA_PAYMENT</definedName>
    <definedName name="mereni" localSheetId="8">SCHEDULED_PAYMENT+EXTRA_PAYMENT</definedName>
    <definedName name="mereni" localSheetId="9">SCHEDULED_PAYMENT+EXTRA_PAYMENT</definedName>
    <definedName name="mereni" localSheetId="11">SCHEDULED_PAYMENT+EXTRA_PAYMENT</definedName>
    <definedName name="mereni" localSheetId="13">SCHEDULED_PAYMENT+EXTRA_PAYMENT</definedName>
    <definedName name="mereni" localSheetId="14">SCHEDULED_PAYMENT+EXTRA_PAYMENT</definedName>
    <definedName name="mereni" localSheetId="15">SCHEDULED_PAYMENT+EXTRA_PAYMENT</definedName>
    <definedName name="mereni" localSheetId="0">SCHEDULED_PAYMENT+EXTRA_PAYMENT</definedName>
    <definedName name="mereni">SCHEDULED_PAYMENT+EXTRA_PAYMENT</definedName>
    <definedName name="MJ" localSheetId="1">#REF!</definedName>
    <definedName name="MJ" localSheetId="2">#REF!</definedName>
    <definedName name="MJ" localSheetId="8">#REF!</definedName>
    <definedName name="MJ" localSheetId="9">#REF!</definedName>
    <definedName name="MJ" localSheetId="14">#REF!</definedName>
    <definedName name="MJ" localSheetId="0">#REF!</definedName>
    <definedName name="MJ">#REF!</definedName>
    <definedName name="Mont" localSheetId="1">#REF!</definedName>
    <definedName name="Mont" localSheetId="2">#REF!</definedName>
    <definedName name="Mont" localSheetId="8">#REF!</definedName>
    <definedName name="Mont" localSheetId="9">#REF!</definedName>
    <definedName name="Mont" localSheetId="14">#REF!</definedName>
    <definedName name="Mont" localSheetId="0">#REF!</definedName>
    <definedName name="Mont">#REF!</definedName>
    <definedName name="Montaz0" localSheetId="1">#REF!</definedName>
    <definedName name="Montaz0" localSheetId="2">#REF!</definedName>
    <definedName name="Montaz0" localSheetId="8">#REF!</definedName>
    <definedName name="Montaz0" localSheetId="9">#REF!</definedName>
    <definedName name="Montaz0" localSheetId="14">#REF!</definedName>
    <definedName name="Montaz0">#REF!</definedName>
    <definedName name="mts" localSheetId="1">#REF!</definedName>
    <definedName name="mts" localSheetId="2">#REF!</definedName>
    <definedName name="mts" localSheetId="8">#REF!</definedName>
    <definedName name="mts" localSheetId="9">#REF!</definedName>
    <definedName name="mts" localSheetId="14">#REF!</definedName>
    <definedName name="mts">#REF!</definedName>
    <definedName name="n" localSheetId="1">SCHEDULED_PAYMENT+EXTRA_PAYMENT</definedName>
    <definedName name="n" localSheetId="2">SCHEDULED_PAYMENT+EXTRA_PAYMENT</definedName>
    <definedName name="n" localSheetId="4">SCHEDULED_PAYMENT+EXTRA_PAYMENT</definedName>
    <definedName name="n" localSheetId="6">SCHEDULED_PAYMENT+EXTRA_PAYMENT</definedName>
    <definedName name="n" localSheetId="7">SCHEDULED_PAYMENT+EXTRA_PAYMENT</definedName>
    <definedName name="n" localSheetId="8">SCHEDULED_PAYMENT+EXTRA_PAYMENT</definedName>
    <definedName name="n" localSheetId="9">SCHEDULED_PAYMENT+EXTRA_PAYMENT</definedName>
    <definedName name="n" localSheetId="11">SCHEDULED_PAYMENT+EXTRA_PAYMENT</definedName>
    <definedName name="n" localSheetId="13">SCHEDULED_PAYMENT+EXTRA_PAYMENT</definedName>
    <definedName name="n" localSheetId="14">SCHEDULED_PAYMENT+EXTRA_PAYMENT</definedName>
    <definedName name="n" localSheetId="15">SCHEDULED_PAYMENT+EXTRA_PAYMENT</definedName>
    <definedName name="n" localSheetId="0">SCHEDULED_PAYMENT+EXTRA_PAYMENT</definedName>
    <definedName name="n">SCHEDULED_PAYMENT+EXTRA_PAYMENT</definedName>
    <definedName name="NazevDilu" localSheetId="1">#REF!</definedName>
    <definedName name="NazevDilu" localSheetId="2">#REF!</definedName>
    <definedName name="NazevDilu" localSheetId="8">#REF!</definedName>
    <definedName name="NazevDilu" localSheetId="9">#REF!</definedName>
    <definedName name="NazevDilu" localSheetId="14">#REF!</definedName>
    <definedName name="NazevDilu" localSheetId="0">#REF!</definedName>
    <definedName name="NazevDilu">#REF!</definedName>
    <definedName name="NazevObjektu" localSheetId="0">'KRYCÍ LIST'!$C$28</definedName>
    <definedName name="NazevStavby" localSheetId="0">'KRYCÍ LIST'!$D$6</definedName>
    <definedName name="Num_Pmt_Per_Year" localSheetId="1">#REF!</definedName>
    <definedName name="Num_Pmt_Per_Year" localSheetId="2">#REF!</definedName>
    <definedName name="Num_Pmt_Per_Year" localSheetId="7">#REF!</definedName>
    <definedName name="Num_Pmt_Per_Year" localSheetId="8">#REF!</definedName>
    <definedName name="Num_Pmt_Per_Year" localSheetId="9">#REF!</definedName>
    <definedName name="Num_Pmt_Per_Year" localSheetId="14">#REF!</definedName>
    <definedName name="Num_Pmt_Per_Year" localSheetId="15">#REF!</definedName>
    <definedName name="Num_Pmt_Per_Year">#REF!</definedName>
    <definedName name="Number_of_Payments" localSheetId="1">MATCH(0.01,#NAME?,-1)+1</definedName>
    <definedName name="Number_of_Payments" localSheetId="2">MATCH(0.01,#NAME?,-1)+1</definedName>
    <definedName name="Number_of_Payments" localSheetId="4">MATCH(0.01,End_Bal,-1)+1</definedName>
    <definedName name="Number_of_Payments" localSheetId="6">MATCH(0.01,End_Bal,-1)+1</definedName>
    <definedName name="Number_of_Payments" localSheetId="7">MATCH(0.01,End_Bal,-1)+1</definedName>
    <definedName name="Number_of_Payments" localSheetId="8">MATCH(0.01,#NAME?,-1)+1</definedName>
    <definedName name="Number_of_Payments" localSheetId="9">MATCH(0.01,#NAME?,-1)+1</definedName>
    <definedName name="Number_of_Payments" localSheetId="11">MATCH(0.01,End_Bal,-1)+1</definedName>
    <definedName name="Number_of_Payments" localSheetId="13">MATCH(0.01,End_Bal,-1)+1</definedName>
    <definedName name="Number_of_Payments" localSheetId="14">MATCH(0.01,'2.4.H Elektroinstalace'!End_Bal,-1)+1</definedName>
    <definedName name="Number_of_Payments" localSheetId="15">MATCH(0.01,End_Bal,-1)+1</definedName>
    <definedName name="Number_of_Payments" localSheetId="0">MATCH(0.01,End_Bal,-1)+1</definedName>
    <definedName name="Number_of_Payments">MATCH(0.01,End_Bal,-1)+1</definedName>
    <definedName name="obch_sleva" localSheetId="1">#REF!</definedName>
    <definedName name="obch_sleva" localSheetId="2">#REF!</definedName>
    <definedName name="obch_sleva" localSheetId="7">#REF!</definedName>
    <definedName name="obch_sleva" localSheetId="8">#REF!</definedName>
    <definedName name="obch_sleva" localSheetId="9">#REF!</definedName>
    <definedName name="obch_sleva" localSheetId="14">#REF!</definedName>
    <definedName name="obch_sleva" localSheetId="15">#REF!</definedName>
    <definedName name="obch_sleva">#REF!</definedName>
    <definedName name="Objednatel" localSheetId="1">#REF!</definedName>
    <definedName name="Objednatel" localSheetId="2">#REF!</definedName>
    <definedName name="Objednatel" localSheetId="4">#REF!</definedName>
    <definedName name="Objednatel" localSheetId="6">#REF!</definedName>
    <definedName name="Objednatel" localSheetId="7">#REF!</definedName>
    <definedName name="Objednatel" localSheetId="8">#REF!</definedName>
    <definedName name="Objednatel" localSheetId="9">#REF!</definedName>
    <definedName name="Objednatel" localSheetId="11">#REF!</definedName>
    <definedName name="Objednatel" localSheetId="13">#REF!</definedName>
    <definedName name="Objednatel" localSheetId="14">#REF!</definedName>
    <definedName name="Objednatel" localSheetId="15">#REF!</definedName>
    <definedName name="Objednatel" localSheetId="0">'KRYCÍ LIST'!$D$11</definedName>
    <definedName name="Objednatel">#REF!</definedName>
    <definedName name="Objekt" localSheetId="0">'KRYCÍ LIST'!$B$28</definedName>
    <definedName name="_xlnm.Print_Area" localSheetId="1">'1.1.H Stavební rozpočet'!$A$1:$H$829</definedName>
    <definedName name="_xlnm.Print_Area" localSheetId="2">'1.1.M Stavební rozpočet'!$A$1:$H$222</definedName>
    <definedName name="_xlnm.Print_Area" localSheetId="3">'1.2.H Elektroinstalace'!$A$1:$L$55</definedName>
    <definedName name="_xlnm.Print_Area" localSheetId="4">'1.2.M Elektroinstalace'!$A$1:$L$15</definedName>
    <definedName name="_xlnm.Print_Area" localSheetId="5">'1.3.H LPS'!$A$1:$G$105</definedName>
    <definedName name="_xlnm.Print_Area" localSheetId="6">'1.3.M LPS'!$A$1:$G$97</definedName>
    <definedName name="_xlnm.Print_Area" localSheetId="7">'1.4. Všeobecné konstrukce'!$A$1:$G$16</definedName>
    <definedName name="_xlnm.Print_Area" localSheetId="8">'2.1.H Stavební rozpočet'!$A$1:$H$167</definedName>
    <definedName name="_xlnm.Print_Area" localSheetId="9">'2.1.M Stavební rozpočet'!$A$1:$H$56</definedName>
    <definedName name="_xlnm.Print_Area" localSheetId="10">'2.2.H Zdravotechnika'!$A$1:$J$71</definedName>
    <definedName name="_xlnm.Print_Area" localSheetId="11">'2.2.M Zdravotechnika'!$A$1:$J$11</definedName>
    <definedName name="_xlnm.Print_Area" localSheetId="12">'2.3.H SAT-TV'!$A$1:$F$30</definedName>
    <definedName name="_xlnm.Print_Area" localSheetId="13">'2.3.M SAT-TV'!$A$1:$F$15</definedName>
    <definedName name="_xlnm.Print_Area" localSheetId="14">'2.4.H Elektroinstalace'!$A$1:$L$29</definedName>
    <definedName name="_xlnm.Print_Area" localSheetId="15">'2.5. Všeobecné konstrukce'!$A$1:$G$17</definedName>
    <definedName name="_xlnm.Print_Area" localSheetId="0">'KRYCÍ LIST'!$A$1:$I$50</definedName>
    <definedName name="odic" localSheetId="0">'KRYCÍ LIST'!$J$12</definedName>
    <definedName name="oico" localSheetId="0">'KRYCÍ LIST'!$J$11</definedName>
    <definedName name="omisto" localSheetId="0">#REF!</definedName>
    <definedName name="onazev" localSheetId="0">'KRYCÍ LIST'!$D$12</definedName>
    <definedName name="op" localSheetId="1">#REF!</definedName>
    <definedName name="op" localSheetId="2">#REF!</definedName>
    <definedName name="op" localSheetId="7">#REF!</definedName>
    <definedName name="op" localSheetId="8">#REF!</definedName>
    <definedName name="op" localSheetId="9">#REF!</definedName>
    <definedName name="op" localSheetId="14">#REF!</definedName>
    <definedName name="op" localSheetId="15">#REF!</definedName>
    <definedName name="op">#REF!</definedName>
    <definedName name="opsc" localSheetId="0">#REF!</definedName>
    <definedName name="Outside" localSheetId="2">{#N/A,#N/A,TRUE,"Krycí list"}</definedName>
    <definedName name="Outside" localSheetId="4">{#N/A,#N/A,TRUE,"Krycí list"}</definedName>
    <definedName name="Outside" localSheetId="6">{#N/A,#N/A,TRUE,"Krycí list"}</definedName>
    <definedName name="Outside" localSheetId="7">{#N/A,#N/A,TRUE,"Krycí list"}</definedName>
    <definedName name="Outside" localSheetId="9">{#N/A,#N/A,TRUE,"Krycí list"}</definedName>
    <definedName name="Outside" localSheetId="11">{#N/A,#N/A,TRUE,"Krycí list"}</definedName>
    <definedName name="Outside" localSheetId="13">{#N/A,#N/A,TRUE,"Krycí list"}</definedName>
    <definedName name="Outside" localSheetId="15">{#N/A,#N/A,TRUE,"Krycí list"}</definedName>
    <definedName name="Outside" localSheetId="0">{#N/A,#N/A,TRUE,"Krycí list"}</definedName>
    <definedName name="Outside">{#N/A,#N/A,TRUE,"Krycí list"}</definedName>
    <definedName name="Pay_Date" localSheetId="1">#REF!</definedName>
    <definedName name="Pay_Date" localSheetId="2">#REF!</definedName>
    <definedName name="Pay_Date" localSheetId="7">#REF!</definedName>
    <definedName name="Pay_Date" localSheetId="8">#REF!</definedName>
    <definedName name="Pay_Date" localSheetId="9">#REF!</definedName>
    <definedName name="Pay_Date" localSheetId="14">#REF!</definedName>
    <definedName name="Pay_Date" localSheetId="15">#REF!</definedName>
    <definedName name="Pay_Date">#REF!</definedName>
    <definedName name="Pay_Num" localSheetId="1">#REF!</definedName>
    <definedName name="Pay_Num" localSheetId="2">#REF!</definedName>
    <definedName name="Pay_Num" localSheetId="8">#REF!</definedName>
    <definedName name="Pay_Num" localSheetId="9">#REF!</definedName>
    <definedName name="Pay_Num" localSheetId="14">#REF!</definedName>
    <definedName name="Pay_Num">#REF!</definedName>
    <definedName name="Payment_Date" localSheetId="1">DATE(YEAR(#NAME?),MONTH(#NAME?)+PAYMENT_NUMBER,DAY(#NAME?))</definedName>
    <definedName name="Payment_Date" localSheetId="2">DATE(YEAR(#NAME?),MONTH(#NAME?)+PAYMENT_NUMBER,DAY(#NAME?))</definedName>
    <definedName name="Payment_Date" localSheetId="4">DATE(YEAR(Loan_Start),MONTH(Loan_Start)+PAYMENT_NUMBER,DAY(Loan_Start))</definedName>
    <definedName name="Payment_Date" localSheetId="6">DATE(YEAR(Loan_Start),MONTH(Loan_Start)+PAYMENT_NUMBER,DAY(Loan_Start))</definedName>
    <definedName name="Payment_Date" localSheetId="7">DATE(YEAR(Loan_Start),MONTH(Loan_Start)+PAYMENT_NUMBER,DAY(Loan_Start))</definedName>
    <definedName name="Payment_Date" localSheetId="8">DATE(YEAR(#NAME?),MONTH(#NAME?)+PAYMENT_NUMBER,DAY(#NAME?))</definedName>
    <definedName name="Payment_Date" localSheetId="9">DATE(YEAR(#NAME?),MONTH(#NAME?)+PAYMENT_NUMBER,DAY(#NAME?))</definedName>
    <definedName name="Payment_Date" localSheetId="11">DATE(YEAR(Loan_Start),MONTH(Loan_Start)+PAYMENT_NUMBER,DAY(Loan_Start))</definedName>
    <definedName name="Payment_Date" localSheetId="13">DATE(YEAR(Loan_Start),MONTH(Loan_Start)+PAYMENT_NUMBER,DAY(Loan_Start))</definedName>
    <definedName name="Payment_Date" localSheetId="14">DATE(YEAR('2.4.H Elektroinstalace'!Loan_Start),MONTH('2.4.H Elektroinstalace'!Loan_Start)+PAYMENT_NUMBER,DAY('2.4.H Elektroinstalace'!Loan_Start))</definedName>
    <definedName name="Payment_Date" localSheetId="15">DATE(YEAR(Loan_Start),MONTH(Loan_Start)+PAYMENT_NUMBER,DAY(Loan_Start))</definedName>
    <definedName name="Payment_Date" localSheetId="0">DATE(YEAR(Loan_Start),MONTH(Loan_Start)+PAYMENT_NUMBER,DAY(Loan_Start))</definedName>
    <definedName name="Payment_Date">DATE(YEAR(Loan_Start),MONTH(Loan_Start)+PAYMENT_NUMBER,DAY(Loan_Start))</definedName>
    <definedName name="PocetMJ" localSheetId="1">#REF!</definedName>
    <definedName name="PocetMJ" localSheetId="2">#REF!</definedName>
    <definedName name="PocetMJ" localSheetId="8">#REF!</definedName>
    <definedName name="PocetMJ" localSheetId="9">#REF!</definedName>
    <definedName name="PocetMJ" localSheetId="14">#REF!</definedName>
    <definedName name="PocetMJ" localSheetId="0">#REF!</definedName>
    <definedName name="PocetMJ">#REF!</definedName>
    <definedName name="pokusAAAA" localSheetId="1">#REF!</definedName>
    <definedName name="pokusAAAA" localSheetId="2">#REF!</definedName>
    <definedName name="pokusAAAA" localSheetId="8">#REF!</definedName>
    <definedName name="pokusAAAA" localSheetId="9">#REF!</definedName>
    <definedName name="pokusAAAA" localSheetId="14">#REF!</definedName>
    <definedName name="pokusAAAA">#REF!</definedName>
    <definedName name="pokusadres" localSheetId="1">#REF!</definedName>
    <definedName name="pokusadres" localSheetId="2">#REF!</definedName>
    <definedName name="pokusadres" localSheetId="8">#REF!</definedName>
    <definedName name="pokusadres" localSheetId="9">#REF!</definedName>
    <definedName name="pokusadres" localSheetId="14">#REF!</definedName>
    <definedName name="pokusadres">#REF!</definedName>
    <definedName name="položka_A1" localSheetId="1">#REF!</definedName>
    <definedName name="položka_A1" localSheetId="2">#REF!</definedName>
    <definedName name="položka_A1" localSheetId="8">#REF!</definedName>
    <definedName name="položka_A1" localSheetId="9">#REF!</definedName>
    <definedName name="položka_A1" localSheetId="14">#REF!</definedName>
    <definedName name="položka_A1">#REF!</definedName>
    <definedName name="položky" localSheetId="1">#REF!</definedName>
    <definedName name="položky" localSheetId="2">#REF!</definedName>
    <definedName name="položky" localSheetId="8">#REF!</definedName>
    <definedName name="položky" localSheetId="9">#REF!</definedName>
    <definedName name="položky" localSheetId="14">#REF!</definedName>
    <definedName name="položky">#REF!</definedName>
    <definedName name="pom_výp_zač" localSheetId="1">#REF!</definedName>
    <definedName name="pom_výp_zač" localSheetId="2">#REF!</definedName>
    <definedName name="pom_výp_zač" localSheetId="8">#REF!</definedName>
    <definedName name="pom_výp_zač" localSheetId="9">#REF!</definedName>
    <definedName name="pom_výp_zač" localSheetId="14">#REF!</definedName>
    <definedName name="pom_výp_zač">#REF!</definedName>
    <definedName name="pom_výpočty" localSheetId="1">#REF!</definedName>
    <definedName name="pom_výpočty" localSheetId="2">#REF!</definedName>
    <definedName name="pom_výpočty" localSheetId="8">#REF!</definedName>
    <definedName name="pom_výpočty" localSheetId="9">#REF!</definedName>
    <definedName name="pom_výpočty" localSheetId="14">#REF!</definedName>
    <definedName name="pom_výpočty">#REF!</definedName>
    <definedName name="powersock" localSheetId="2">{#N/A,#N/A,TRUE,"Krycí list"}</definedName>
    <definedName name="powersock" localSheetId="4">{#N/A,#N/A,TRUE,"Krycí list"}</definedName>
    <definedName name="powersock" localSheetId="6">{#N/A,#N/A,TRUE,"Krycí list"}</definedName>
    <definedName name="powersock" localSheetId="7">{#N/A,#N/A,TRUE,"Krycí list"}</definedName>
    <definedName name="powersock" localSheetId="9">{#N/A,#N/A,TRUE,"Krycí list"}</definedName>
    <definedName name="powersock" localSheetId="11">{#N/A,#N/A,TRUE,"Krycí list"}</definedName>
    <definedName name="powersock" localSheetId="13">{#N/A,#N/A,TRUE,"Krycí list"}</definedName>
    <definedName name="powersock" localSheetId="15">{#N/A,#N/A,TRUE,"Krycí list"}</definedName>
    <definedName name="powersock" localSheetId="0">{#N/A,#N/A,TRUE,"Krycí list"}</definedName>
    <definedName name="powersock">{#N/A,#N/A,TRUE,"Krycí list"}</definedName>
    <definedName name="PowerSocket" localSheetId="2">{#N/A,#N/A,TRUE,"Krycí list"}</definedName>
    <definedName name="PowerSocket" localSheetId="4">{#N/A,#N/A,TRUE,"Krycí list"}</definedName>
    <definedName name="PowerSocket" localSheetId="6">{#N/A,#N/A,TRUE,"Krycí list"}</definedName>
    <definedName name="PowerSocket" localSheetId="7">{#N/A,#N/A,TRUE,"Krycí list"}</definedName>
    <definedName name="PowerSocket" localSheetId="9">{#N/A,#N/A,TRUE,"Krycí list"}</definedName>
    <definedName name="PowerSocket" localSheetId="11">{#N/A,#N/A,TRUE,"Krycí list"}</definedName>
    <definedName name="PowerSocket" localSheetId="13">{#N/A,#N/A,TRUE,"Krycí list"}</definedName>
    <definedName name="PowerSocket" localSheetId="15">{#N/A,#N/A,TRUE,"Krycí list"}</definedName>
    <definedName name="PowerSocket" localSheetId="0">{#N/A,#N/A,TRUE,"Krycí list"}</definedName>
    <definedName name="PowerSocket">{#N/A,#N/A,TRUE,"Krycí list"}</definedName>
    <definedName name="Poznamka" localSheetId="1">#REF!</definedName>
    <definedName name="Poznamka" localSheetId="2">#REF!</definedName>
    <definedName name="Poznamka" localSheetId="8">#REF!</definedName>
    <definedName name="Poznamka" localSheetId="9">#REF!</definedName>
    <definedName name="Poznamka" localSheetId="14">#REF!</definedName>
    <definedName name="Poznamka" localSheetId="0">#REF!</definedName>
    <definedName name="Poznamka">#REF!</definedName>
    <definedName name="poznámka" localSheetId="1">#REF!</definedName>
    <definedName name="poznámka" localSheetId="2">#REF!</definedName>
    <definedName name="poznámka" localSheetId="8">#REF!</definedName>
    <definedName name="poznámka" localSheetId="9">#REF!</definedName>
    <definedName name="poznámka" localSheetId="14">#REF!</definedName>
    <definedName name="poznámka">#REF!</definedName>
    <definedName name="prep_schem" localSheetId="1">#REF!</definedName>
    <definedName name="prep_schem" localSheetId="2">#REF!</definedName>
    <definedName name="prep_schem" localSheetId="8">#REF!</definedName>
    <definedName name="prep_schem" localSheetId="9">#REF!</definedName>
    <definedName name="prep_schem" localSheetId="14">#REF!</definedName>
    <definedName name="prep_schem">#REF!</definedName>
    <definedName name="Princ" localSheetId="1">#REF!</definedName>
    <definedName name="Princ" localSheetId="2">#REF!</definedName>
    <definedName name="Princ" localSheetId="8">#REF!</definedName>
    <definedName name="Princ" localSheetId="9">#REF!</definedName>
    <definedName name="Princ" localSheetId="14">#REF!</definedName>
    <definedName name="Princ">#REF!</definedName>
    <definedName name="Print_Area_Reset" localSheetId="2">OFFSET(Full_Print,0,0,Last_Row)</definedName>
    <definedName name="Print_Area_Reset" localSheetId="4">OFFSET(Full_Print,0,0,'1.2.M Elektroinstalace'!Last_Row)</definedName>
    <definedName name="Print_Area_Reset" localSheetId="6">OFFSET(Full_Print,0,0,'1.3.M LPS'!Last_Row)</definedName>
    <definedName name="Print_Area_Reset" localSheetId="7">OFFSET(Full_Print,0,0,'1.4. Všeobecné konstrukce'!Last_Row)</definedName>
    <definedName name="Print_Area_Reset" localSheetId="8">OFFSET(Full_Print,0,0,Last_Row)</definedName>
    <definedName name="Print_Area_Reset" localSheetId="9">OFFSET(Full_Print,0,0,Last_Row)</definedName>
    <definedName name="Print_Area_Reset" localSheetId="11">OFFSET(Full_Print,0,0,'2.2.M Zdravotechnika'!Last_Row)</definedName>
    <definedName name="Print_Area_Reset" localSheetId="13">OFFSET(Full_Print,0,0,'2.3.M SAT-TV'!Last_Row)</definedName>
    <definedName name="Print_Area_Reset" localSheetId="14">OFFSET('2.4.H Elektroinstalace'!Full_Print,0,0,'2.4.H Elektroinstalace'!Last_Row)</definedName>
    <definedName name="Print_Area_Reset" localSheetId="15">OFFSET(Full_Print,0,0,'2.5. Všeobecné konstrukce'!Last_Row)</definedName>
    <definedName name="Print_Area_Reset" localSheetId="0">OFFSET(Full_Print,0,0,Last_Row)</definedName>
    <definedName name="Print_Area_Reset">OFFSET(Full_Print,0,0,Last_Row)</definedName>
    <definedName name="Projektant" localSheetId="1">#REF!</definedName>
    <definedName name="Projektant" localSheetId="2">#REF!</definedName>
    <definedName name="Projektant" localSheetId="8">#REF!</definedName>
    <definedName name="Projektant" localSheetId="9">#REF!</definedName>
    <definedName name="Projektant" localSheetId="14">#REF!</definedName>
    <definedName name="Projektant" localSheetId="0">#REF!</definedName>
    <definedName name="Projektant">#REF!</definedName>
    <definedName name="PSV" localSheetId="1">#REF!</definedName>
    <definedName name="PSV" localSheetId="2">#REF!</definedName>
    <definedName name="PSV" localSheetId="8">#REF!</definedName>
    <definedName name="PSV" localSheetId="9">#REF!</definedName>
    <definedName name="PSV" localSheetId="14">#REF!</definedName>
    <definedName name="PSV" localSheetId="0">#REF!</definedName>
    <definedName name="PSV">#REF!</definedName>
    <definedName name="PSV0" localSheetId="1">#REF!</definedName>
    <definedName name="PSV0" localSheetId="2">#REF!</definedName>
    <definedName name="PSV0" localSheetId="8">#REF!</definedName>
    <definedName name="PSV0" localSheetId="9">#REF!</definedName>
    <definedName name="PSV0" localSheetId="14">#REF!</definedName>
    <definedName name="PSV0">#REF!</definedName>
    <definedName name="QQ" localSheetId="2">{#N/A,#N/A,TRUE,"Krycí list"}</definedName>
    <definedName name="QQ" localSheetId="4">{#N/A,#N/A,TRUE,"Krycí list"}</definedName>
    <definedName name="QQ" localSheetId="6">{#N/A,#N/A,TRUE,"Krycí list"}</definedName>
    <definedName name="QQ" localSheetId="7">{#N/A,#N/A,TRUE,"Krycí list"}</definedName>
    <definedName name="QQ" localSheetId="9">{#N/A,#N/A,TRUE,"Krycí list"}</definedName>
    <definedName name="QQ" localSheetId="11">{#N/A,#N/A,TRUE,"Krycí list"}</definedName>
    <definedName name="QQ" localSheetId="13">{#N/A,#N/A,TRUE,"Krycí list"}</definedName>
    <definedName name="QQ" localSheetId="15">{#N/A,#N/A,TRUE,"Krycí list"}</definedName>
    <definedName name="QQ" localSheetId="0">{#N/A,#N/A,TRUE,"Krycí list"}</definedName>
    <definedName name="QQ">{#N/A,#N/A,TRUE,"Krycí list"}</definedName>
    <definedName name="QQQ" localSheetId="2">{#N/A,#N/A,TRUE,"Krycí list"}</definedName>
    <definedName name="QQQ" localSheetId="4">{#N/A,#N/A,TRUE,"Krycí list"}</definedName>
    <definedName name="QQQ" localSheetId="6">{#N/A,#N/A,TRUE,"Krycí list"}</definedName>
    <definedName name="QQQ" localSheetId="7">{#N/A,#N/A,TRUE,"Krycí list"}</definedName>
    <definedName name="QQQ" localSheetId="9">{#N/A,#N/A,TRUE,"Krycí list"}</definedName>
    <definedName name="QQQ" localSheetId="11">{#N/A,#N/A,TRUE,"Krycí list"}</definedName>
    <definedName name="QQQ" localSheetId="13">{#N/A,#N/A,TRUE,"Krycí list"}</definedName>
    <definedName name="QQQ" localSheetId="15">{#N/A,#N/A,TRUE,"Krycí list"}</definedName>
    <definedName name="QQQ" localSheetId="0">{#N/A,#N/A,TRUE,"Krycí list"}</definedName>
    <definedName name="QQQ">{#N/A,#N/A,TRUE,"Krycí list"}</definedName>
    <definedName name="rekapitulace" localSheetId="1">#REF!</definedName>
    <definedName name="rekapitulace" localSheetId="2">#REF!</definedName>
    <definedName name="rekapitulace" localSheetId="7">#REF!</definedName>
    <definedName name="rekapitulace" localSheetId="8">#REF!</definedName>
    <definedName name="rekapitulace" localSheetId="9">#REF!</definedName>
    <definedName name="rekapitulace" localSheetId="14">#REF!</definedName>
    <definedName name="rekapitulace" localSheetId="15">#REF!</definedName>
    <definedName name="rekapitulace">#REF!</definedName>
    <definedName name="rozp" localSheetId="2">{#N/A,#N/A,TRUE,"Krycí list"}</definedName>
    <definedName name="rozp" localSheetId="4">{#N/A,#N/A,TRUE,"Krycí list"}</definedName>
    <definedName name="rozp" localSheetId="6">{#N/A,#N/A,TRUE,"Krycí list"}</definedName>
    <definedName name="rozp" localSheetId="7">{#N/A,#N/A,TRUE,"Krycí list"}</definedName>
    <definedName name="rozp" localSheetId="9">{#N/A,#N/A,TRUE,"Krycí list"}</definedName>
    <definedName name="rozp" localSheetId="11">{#N/A,#N/A,TRUE,"Krycí list"}</definedName>
    <definedName name="rozp" localSheetId="13">{#N/A,#N/A,TRUE,"Krycí list"}</definedName>
    <definedName name="rozp" localSheetId="15">{#N/A,#N/A,TRUE,"Krycí list"}</definedName>
    <definedName name="rozp" localSheetId="0">{#N/A,#N/A,TRUE,"Krycí list"}</definedName>
    <definedName name="rozp">{#N/A,#N/A,TRUE,"Krycí list"}</definedName>
    <definedName name="rozvržení_rozp" localSheetId="1">#REF!</definedName>
    <definedName name="rozvržení_rozp" localSheetId="2">#REF!</definedName>
    <definedName name="rozvržení_rozp" localSheetId="7">#REF!</definedName>
    <definedName name="rozvržení_rozp" localSheetId="8">#REF!</definedName>
    <definedName name="rozvržení_rozp" localSheetId="9">#REF!</definedName>
    <definedName name="rozvržení_rozp" localSheetId="14">#REF!</definedName>
    <definedName name="rozvržení_rozp" localSheetId="15">#REF!</definedName>
    <definedName name="rozvržení_rozp">#REF!</definedName>
    <definedName name="saboproud" localSheetId="2">{#N/A,#N/A,TRUE,"Krycí list"}</definedName>
    <definedName name="saboproud" localSheetId="4">{#N/A,#N/A,TRUE,"Krycí list"}</definedName>
    <definedName name="saboproud" localSheetId="6">{#N/A,#N/A,TRUE,"Krycí list"}</definedName>
    <definedName name="saboproud" localSheetId="7">{#N/A,#N/A,TRUE,"Krycí list"}</definedName>
    <definedName name="saboproud" localSheetId="9">{#N/A,#N/A,TRUE,"Krycí list"}</definedName>
    <definedName name="saboproud" localSheetId="11">{#N/A,#N/A,TRUE,"Krycí list"}</definedName>
    <definedName name="saboproud" localSheetId="13">{#N/A,#N/A,TRUE,"Krycí list"}</definedName>
    <definedName name="saboproud" localSheetId="15">{#N/A,#N/A,TRUE,"Krycí list"}</definedName>
    <definedName name="saboproud" localSheetId="0">{#N/A,#N/A,TRUE,"Krycí list"}</definedName>
    <definedName name="saboproud">{#N/A,#N/A,TRUE,"Krycí list"}</definedName>
    <definedName name="SazbaDPH1" localSheetId="1">#REF!</definedName>
    <definedName name="SazbaDPH1" localSheetId="2">#REF!</definedName>
    <definedName name="SazbaDPH1" localSheetId="4">#REF!</definedName>
    <definedName name="SazbaDPH1" localSheetId="6">#REF!</definedName>
    <definedName name="SazbaDPH1" localSheetId="7">#REF!</definedName>
    <definedName name="SazbaDPH1" localSheetId="8">#REF!</definedName>
    <definedName name="SazbaDPH1" localSheetId="9">#REF!</definedName>
    <definedName name="SazbaDPH1" localSheetId="11">#REF!</definedName>
    <definedName name="SazbaDPH1" localSheetId="13">#REF!</definedName>
    <definedName name="SazbaDPH1" localSheetId="14">#REF!</definedName>
    <definedName name="SazbaDPH1" localSheetId="15">#REF!</definedName>
    <definedName name="SazbaDPH1" localSheetId="0">'KRYCÍ LIST'!$D$18</definedName>
    <definedName name="SazbaDPH1">#REF!</definedName>
    <definedName name="SazbaDPH2" localSheetId="1">#REF!</definedName>
    <definedName name="SazbaDPH2" localSheetId="2">#REF!</definedName>
    <definedName name="SazbaDPH2" localSheetId="4">#REF!</definedName>
    <definedName name="SazbaDPH2" localSheetId="6">#REF!</definedName>
    <definedName name="SazbaDPH2" localSheetId="7">#REF!</definedName>
    <definedName name="SazbaDPH2" localSheetId="8">#REF!</definedName>
    <definedName name="SazbaDPH2" localSheetId="9">#REF!</definedName>
    <definedName name="SazbaDPH2" localSheetId="11">#REF!</definedName>
    <definedName name="SazbaDPH2" localSheetId="13">#REF!</definedName>
    <definedName name="SazbaDPH2" localSheetId="14">#REF!</definedName>
    <definedName name="SazbaDPH2" localSheetId="15">#REF!</definedName>
    <definedName name="SazbaDPH2" localSheetId="0">'KRYCÍ LIST'!$D$20</definedName>
    <definedName name="SazbaDPH2">#REF!</definedName>
    <definedName name="Sched_Pay" localSheetId="1">#REF!</definedName>
    <definedName name="Sched_Pay" localSheetId="2">#REF!</definedName>
    <definedName name="Sched_Pay" localSheetId="8">#REF!</definedName>
    <definedName name="Sched_Pay" localSheetId="9">#REF!</definedName>
    <definedName name="Sched_Pay" localSheetId="14">#REF!</definedName>
    <definedName name="Sched_Pay">#REF!</definedName>
    <definedName name="Scheduled_Extra_Payments" localSheetId="1">#REF!</definedName>
    <definedName name="Scheduled_Extra_Payments" localSheetId="2">#REF!</definedName>
    <definedName name="Scheduled_Extra_Payments" localSheetId="8">#REF!</definedName>
    <definedName name="Scheduled_Extra_Payments" localSheetId="9">#REF!</definedName>
    <definedName name="Scheduled_Extra_Payments" localSheetId="14">#REF!</definedName>
    <definedName name="Scheduled_Extra_Payments">#REF!</definedName>
    <definedName name="Scheduled_Interest_Rate" localSheetId="1">#REF!</definedName>
    <definedName name="Scheduled_Interest_Rate" localSheetId="2">#REF!</definedName>
    <definedName name="Scheduled_Interest_Rate" localSheetId="8">#REF!</definedName>
    <definedName name="Scheduled_Interest_Rate" localSheetId="9">#REF!</definedName>
    <definedName name="Scheduled_Interest_Rate" localSheetId="14">#REF!</definedName>
    <definedName name="Scheduled_Interest_Rate">#REF!</definedName>
    <definedName name="Scheduled_Monthly_Payment" localSheetId="1">#REF!</definedName>
    <definedName name="Scheduled_Monthly_Payment" localSheetId="2">#REF!</definedName>
    <definedName name="Scheduled_Monthly_Payment" localSheetId="8">#REF!</definedName>
    <definedName name="Scheduled_Monthly_Payment" localSheetId="9">#REF!</definedName>
    <definedName name="Scheduled_Monthly_Payment" localSheetId="14">#REF!</definedName>
    <definedName name="Scheduled_Monthly_Payment">#REF!</definedName>
    <definedName name="SloupecCC" localSheetId="1">#REF!</definedName>
    <definedName name="SloupecCC" localSheetId="2">#REF!</definedName>
    <definedName name="SloupecCC" localSheetId="8">#REF!</definedName>
    <definedName name="SloupecCC" localSheetId="9">#REF!</definedName>
    <definedName name="SloupecCC" localSheetId="14">#REF!</definedName>
    <definedName name="SloupecCC" localSheetId="0">#REF!</definedName>
    <definedName name="SloupecCC">#REF!</definedName>
    <definedName name="SloupecCisloPol" localSheetId="1">#REF!</definedName>
    <definedName name="SloupecCisloPol" localSheetId="2">#REF!</definedName>
    <definedName name="SloupecCisloPol" localSheetId="8">#REF!</definedName>
    <definedName name="SloupecCisloPol" localSheetId="9">#REF!</definedName>
    <definedName name="SloupecCisloPol" localSheetId="14">#REF!</definedName>
    <definedName name="SloupecCisloPol" localSheetId="0">#REF!</definedName>
    <definedName name="SloupecCisloPol">#REF!</definedName>
    <definedName name="SloupecJC" localSheetId="1">#REF!</definedName>
    <definedName name="SloupecJC" localSheetId="2">#REF!</definedName>
    <definedName name="SloupecJC" localSheetId="8">#REF!</definedName>
    <definedName name="SloupecJC" localSheetId="9">#REF!</definedName>
    <definedName name="SloupecJC" localSheetId="14">#REF!</definedName>
    <definedName name="SloupecJC" localSheetId="0">#REF!</definedName>
    <definedName name="SloupecJC">#REF!</definedName>
    <definedName name="SloupecMJ" localSheetId="1">#REF!</definedName>
    <definedName name="SloupecMJ" localSheetId="2">#REF!</definedName>
    <definedName name="SloupecMJ" localSheetId="8">#REF!</definedName>
    <definedName name="SloupecMJ" localSheetId="9">#REF!</definedName>
    <definedName name="SloupecMJ" localSheetId="14">#REF!</definedName>
    <definedName name="SloupecMJ" localSheetId="0">#REF!</definedName>
    <definedName name="SloupecMJ">#REF!</definedName>
    <definedName name="SloupecMnozstvi" localSheetId="1">#REF!</definedName>
    <definedName name="SloupecMnozstvi" localSheetId="2">#REF!</definedName>
    <definedName name="SloupecMnozstvi" localSheetId="8">#REF!</definedName>
    <definedName name="SloupecMnozstvi" localSheetId="9">#REF!</definedName>
    <definedName name="SloupecMnozstvi" localSheetId="14">#REF!</definedName>
    <definedName name="SloupecMnozstvi" localSheetId="0">#REF!</definedName>
    <definedName name="SloupecMnozstvi">#REF!</definedName>
    <definedName name="SloupecNazPol" localSheetId="1">#REF!</definedName>
    <definedName name="SloupecNazPol" localSheetId="2">#REF!</definedName>
    <definedName name="SloupecNazPol" localSheetId="8">#REF!</definedName>
    <definedName name="SloupecNazPol" localSheetId="9">#REF!</definedName>
    <definedName name="SloupecNazPol" localSheetId="14">#REF!</definedName>
    <definedName name="SloupecNazPol" localSheetId="0">#REF!</definedName>
    <definedName name="SloupecNazPol">#REF!</definedName>
    <definedName name="SloupecPC" localSheetId="1">#REF!</definedName>
    <definedName name="SloupecPC" localSheetId="2">#REF!</definedName>
    <definedName name="SloupecPC" localSheetId="8">#REF!</definedName>
    <definedName name="SloupecPC" localSheetId="9">#REF!</definedName>
    <definedName name="SloupecPC" localSheetId="14">#REF!</definedName>
    <definedName name="SloupecPC" localSheetId="0">#REF!</definedName>
    <definedName name="SloupecPC">#REF!</definedName>
    <definedName name="SoucetDilu" localSheetId="0">#REF!</definedName>
    <definedName name="soupis" localSheetId="2">{#N/A,#N/A,TRUE,"Krycí list"}</definedName>
    <definedName name="soupis" localSheetId="4">{#N/A,#N/A,TRUE,"Krycí list"}</definedName>
    <definedName name="soupis" localSheetId="6">{#N/A,#N/A,TRUE,"Krycí list"}</definedName>
    <definedName name="soupis" localSheetId="7">{#N/A,#N/A,TRUE,"Krycí list"}</definedName>
    <definedName name="soupis" localSheetId="9">{#N/A,#N/A,TRUE,"Krycí list"}</definedName>
    <definedName name="soupis" localSheetId="11">{#N/A,#N/A,TRUE,"Krycí list"}</definedName>
    <definedName name="soupis" localSheetId="13">{#N/A,#N/A,TRUE,"Krycí list"}</definedName>
    <definedName name="soupis" localSheetId="15">{#N/A,#N/A,TRUE,"Krycí list"}</definedName>
    <definedName name="soupis" localSheetId="0">{#N/A,#N/A,TRUE,"Krycí list"}</definedName>
    <definedName name="soupis">{#N/A,#N/A,TRUE,"Krycí list"}</definedName>
    <definedName name="ssss" localSheetId="1">#REF!</definedName>
    <definedName name="ssss" localSheetId="2">#REF!</definedName>
    <definedName name="ssss" localSheetId="7">#REF!</definedName>
    <definedName name="ssss" localSheetId="8">#REF!</definedName>
    <definedName name="ssss" localSheetId="9">#REF!</definedName>
    <definedName name="ssss" localSheetId="14">#REF!</definedName>
    <definedName name="ssss" localSheetId="15">#REF!</definedName>
    <definedName name="ssss">#REF!</definedName>
    <definedName name="StavbaCelkem" localSheetId="0">'KRYCÍ LIST'!$H$45</definedName>
    <definedName name="subslevy" localSheetId="1">#REF!</definedName>
    <definedName name="subslevy" localSheetId="2">#REF!</definedName>
    <definedName name="subslevy" localSheetId="7">#REF!</definedName>
    <definedName name="subslevy" localSheetId="8">#REF!</definedName>
    <definedName name="subslevy" localSheetId="9">#REF!</definedName>
    <definedName name="subslevy" localSheetId="14">#REF!</definedName>
    <definedName name="subslevy" localSheetId="15">#REF!</definedName>
    <definedName name="subslevy">#REF!</definedName>
    <definedName name="sum_kapitoly" localSheetId="1">#REF!</definedName>
    <definedName name="sum_kapitoly" localSheetId="2">#REF!</definedName>
    <definedName name="sum_kapitoly" localSheetId="7">#REF!</definedName>
    <definedName name="sum_kapitoly" localSheetId="8">#REF!</definedName>
    <definedName name="sum_kapitoly" localSheetId="9">#REF!</definedName>
    <definedName name="sum_kapitoly" localSheetId="14">#REF!</definedName>
    <definedName name="sum_kapitoly" localSheetId="15">#REF!</definedName>
    <definedName name="sum_kapitoly">#REF!</definedName>
    <definedName name="summary" localSheetId="2">{#N/A,#N/A,TRUE,"Krycí list"}</definedName>
    <definedName name="summary" localSheetId="4">{#N/A,#N/A,TRUE,"Krycí list"}</definedName>
    <definedName name="summary" localSheetId="6">{#N/A,#N/A,TRUE,"Krycí list"}</definedName>
    <definedName name="summary" localSheetId="7">{#N/A,#N/A,TRUE,"Krycí list"}</definedName>
    <definedName name="summary" localSheetId="9">{#N/A,#N/A,TRUE,"Krycí list"}</definedName>
    <definedName name="summary" localSheetId="11">{#N/A,#N/A,TRUE,"Krycí list"}</definedName>
    <definedName name="summary" localSheetId="13">{#N/A,#N/A,TRUE,"Krycí list"}</definedName>
    <definedName name="summary" localSheetId="15">{#N/A,#N/A,TRUE,"Krycí list"}</definedName>
    <definedName name="summary" localSheetId="0">{#N/A,#N/A,TRUE,"Krycí list"}</definedName>
    <definedName name="summary">{#N/A,#N/A,TRUE,"Krycí list"}</definedName>
    <definedName name="sumpok" localSheetId="1">#REF!</definedName>
    <definedName name="sumpok" localSheetId="2">#REF!</definedName>
    <definedName name="sumpok" localSheetId="7">#REF!</definedName>
    <definedName name="sumpok" localSheetId="8">#REF!</definedName>
    <definedName name="sumpok" localSheetId="9">#REF!</definedName>
    <definedName name="sumpok" localSheetId="14">#REF!</definedName>
    <definedName name="sumpok" localSheetId="15">#REF!</definedName>
    <definedName name="sumpok">#REF!</definedName>
    <definedName name="Switchboard" localSheetId="2">{#N/A,#N/A,TRUE,"Krycí list"}</definedName>
    <definedName name="Switchboard" localSheetId="4">{#N/A,#N/A,TRUE,"Krycí list"}</definedName>
    <definedName name="Switchboard" localSheetId="6">{#N/A,#N/A,TRUE,"Krycí list"}</definedName>
    <definedName name="Switchboard" localSheetId="7">{#N/A,#N/A,TRUE,"Krycí list"}</definedName>
    <definedName name="Switchboard" localSheetId="9">{#N/A,#N/A,TRUE,"Krycí list"}</definedName>
    <definedName name="Switchboard" localSheetId="11">{#N/A,#N/A,TRUE,"Krycí list"}</definedName>
    <definedName name="Switchboard" localSheetId="13">{#N/A,#N/A,TRUE,"Krycí list"}</definedName>
    <definedName name="Switchboard" localSheetId="15">{#N/A,#N/A,TRUE,"Krycí list"}</definedName>
    <definedName name="Switchboard" localSheetId="0">{#N/A,#N/A,TRUE,"Krycí list"}</definedName>
    <definedName name="Switchboard">{#N/A,#N/A,TRUE,"Krycí list"}</definedName>
    <definedName name="tab" localSheetId="1">#REF!</definedName>
    <definedName name="tab" localSheetId="2">#REF!</definedName>
    <definedName name="tab" localSheetId="7">#REF!</definedName>
    <definedName name="tab" localSheetId="8">#REF!</definedName>
    <definedName name="tab" localSheetId="9">#REF!</definedName>
    <definedName name="tab" localSheetId="14">#REF!</definedName>
    <definedName name="tab" localSheetId="15">#REF!</definedName>
    <definedName name="tab">#REF!</definedName>
    <definedName name="Total_Interest" localSheetId="1">#REF!</definedName>
    <definedName name="Total_Interest" localSheetId="2">#REF!</definedName>
    <definedName name="Total_Interest" localSheetId="8">#REF!</definedName>
    <definedName name="Total_Interest" localSheetId="9">#REF!</definedName>
    <definedName name="Total_Interest" localSheetId="14">#REF!</definedName>
    <definedName name="Total_Interest">#REF!</definedName>
    <definedName name="Total_Pay" localSheetId="1">#REF!</definedName>
    <definedName name="Total_Pay" localSheetId="2">#REF!</definedName>
    <definedName name="Total_Pay" localSheetId="8">#REF!</definedName>
    <definedName name="Total_Pay" localSheetId="9">#REF!</definedName>
    <definedName name="Total_Pay" localSheetId="14">#REF!</definedName>
    <definedName name="Total_Pay">#REF!</definedName>
    <definedName name="Total_Payment" localSheetId="1">SCHEDULED_PAYMENT+EXTRA_PAYMENT</definedName>
    <definedName name="Total_Payment" localSheetId="2">SCHEDULED_PAYMENT+EXTRA_PAYMENT</definedName>
    <definedName name="Total_Payment" localSheetId="4">SCHEDULED_PAYMENT+EXTRA_PAYMENT</definedName>
    <definedName name="Total_Payment" localSheetId="6">SCHEDULED_PAYMENT+EXTRA_PAYMENT</definedName>
    <definedName name="Total_Payment" localSheetId="7">SCHEDULED_PAYMENT+EXTRA_PAYMENT</definedName>
    <definedName name="Total_Payment" localSheetId="8">SCHEDULED_PAYMENT+EXTRA_PAYMENT</definedName>
    <definedName name="Total_Payment" localSheetId="9">SCHEDULED_PAYMENT+EXTRA_PAYMENT</definedName>
    <definedName name="Total_Payment" localSheetId="11">SCHEDULED_PAYMENT+EXTRA_PAYMENT</definedName>
    <definedName name="Total_Payment" localSheetId="13">SCHEDULED_PAYMENT+EXTRA_PAYMENT</definedName>
    <definedName name="Total_Payment" localSheetId="14">SCHEDULED_PAYMENT+EXTRA_PAYMENT</definedName>
    <definedName name="Total_Payment" localSheetId="15">SCHEDULED_PAYMENT+EXTRA_PAYMENT</definedName>
    <definedName name="Total_Payment" localSheetId="0">SCHEDULED_PAYMENT+EXTRA_PAYMENT</definedName>
    <definedName name="Total_Payment">SCHEDULED_PAYMENT+EXTRA_PAYMENT</definedName>
    <definedName name="Typ" localSheetId="1">#REF!</definedName>
    <definedName name="Typ" localSheetId="2">#REF!</definedName>
    <definedName name="Typ" localSheetId="7">#REF!</definedName>
    <definedName name="Typ" localSheetId="8">#REF!</definedName>
    <definedName name="Typ" localSheetId="9">#REF!</definedName>
    <definedName name="Typ" localSheetId="14">#REF!</definedName>
    <definedName name="Typ" localSheetId="15">#REF!</definedName>
    <definedName name="Typ">#REF!</definedName>
    <definedName name="v" localSheetId="1">#REF!</definedName>
    <definedName name="v" localSheetId="2">#REF!</definedName>
    <definedName name="v" localSheetId="4">#REF!</definedName>
    <definedName name="v" localSheetId="6">#REF!</definedName>
    <definedName name="v" localSheetId="7">#REF!</definedName>
    <definedName name="v" localSheetId="8">#REF!</definedName>
    <definedName name="v" localSheetId="9">#REF!</definedName>
    <definedName name="v" localSheetId="11">#REF!</definedName>
    <definedName name="v" localSheetId="13">#REF!</definedName>
    <definedName name="v" localSheetId="14">#REF!</definedName>
    <definedName name="v" localSheetId="15">#REF!</definedName>
    <definedName name="v">#REF!</definedName>
    <definedName name="Values_Entered" localSheetId="1">IF(#NAME?*#NAME?*#NAME?*#NAME?&gt;0,1,0)</definedName>
    <definedName name="Values_Entered" localSheetId="2">IF(#NAME?*#NAME?*#NAME?*#NAME?&gt;0,1,0)</definedName>
    <definedName name="Values_Entered" localSheetId="4">IF(Loan_Amount*Interest_Rate*Loan_Years*Loan_Start&gt;0,1,0)</definedName>
    <definedName name="Values_Entered" localSheetId="6">IF(Loan_Amount*Interest_Rate*Loan_Years*Loan_Start&gt;0,1,0)</definedName>
    <definedName name="Values_Entered" localSheetId="7">IF('1.4. Všeobecné konstrukce'!Loan_Amount*Interest_Rate*Loan_Years*Loan_Start&gt;0,1,0)</definedName>
    <definedName name="Values_Entered" localSheetId="8">IF(#NAME?*#NAME?*#NAME?*#NAME?&gt;0,1,0)</definedName>
    <definedName name="Values_Entered" localSheetId="9">IF(#NAME?*#NAME?*#NAME?*#NAME?&gt;0,1,0)</definedName>
    <definedName name="Values_Entered" localSheetId="11">IF(Loan_Amount*Interest_Rate*Loan_Years*Loan_Start&gt;0,1,0)</definedName>
    <definedName name="Values_Entered" localSheetId="13">IF(Loan_Amount*Interest_Rate*Loan_Years*Loan_Start&gt;0,1,0)</definedName>
    <definedName name="Values_Entered" localSheetId="14">IF('2.4.H Elektroinstalace'!Loan_Amount*'2.4.H Elektroinstalace'!Interest_Rate*'2.4.H Elektroinstalace'!Loan_Years*'2.4.H Elektroinstalace'!Loan_Start&gt;0,1,0)</definedName>
    <definedName name="Values_Entered" localSheetId="15">IF('2.5. Všeobecné konstrukce'!Loan_Amount*Interest_Rate*Loan_Years*Loan_Start&gt;0,1,0)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IZA" localSheetId="2">{#N/A,#N/A,TRUE,"Krycí list"}</definedName>
    <definedName name="VIZA" localSheetId="4">{#N/A,#N/A,TRUE,"Krycí list"}</definedName>
    <definedName name="VIZA" localSheetId="6">{#N/A,#N/A,TRUE,"Krycí list"}</definedName>
    <definedName name="VIZA" localSheetId="7">{#N/A,#N/A,TRUE,"Krycí list"}</definedName>
    <definedName name="VIZA" localSheetId="9">{#N/A,#N/A,TRUE,"Krycí list"}</definedName>
    <definedName name="VIZA" localSheetId="11">{#N/A,#N/A,TRUE,"Krycí list"}</definedName>
    <definedName name="VIZA" localSheetId="13">{#N/A,#N/A,TRUE,"Krycí list"}</definedName>
    <definedName name="VIZA" localSheetId="15">{#N/A,#N/A,TRUE,"Krycí list"}</definedName>
    <definedName name="VIZA" localSheetId="0">{#N/A,#N/A,TRUE,"Krycí list"}</definedName>
    <definedName name="VIZA">{#N/A,#N/A,TRUE,"Krycí list"}</definedName>
    <definedName name="VIZA12" localSheetId="2">{#N/A,#N/A,TRUE,"Krycí list"}</definedName>
    <definedName name="VIZA12" localSheetId="4">{#N/A,#N/A,TRUE,"Krycí list"}</definedName>
    <definedName name="VIZA12" localSheetId="6">{#N/A,#N/A,TRUE,"Krycí list"}</definedName>
    <definedName name="VIZA12" localSheetId="7">{#N/A,#N/A,TRUE,"Krycí list"}</definedName>
    <definedName name="VIZA12" localSheetId="9">{#N/A,#N/A,TRUE,"Krycí list"}</definedName>
    <definedName name="VIZA12" localSheetId="11">{#N/A,#N/A,TRUE,"Krycí list"}</definedName>
    <definedName name="VIZA12" localSheetId="13">{#N/A,#N/A,TRUE,"Krycí list"}</definedName>
    <definedName name="VIZA12" localSheetId="15">{#N/A,#N/A,TRUE,"Krycí list"}</definedName>
    <definedName name="VIZA12" localSheetId="0">{#N/A,#N/A,TRUE,"Krycí list"}</definedName>
    <definedName name="VIZA12">{#N/A,#N/A,TRUE,"Krycí list"}</definedName>
    <definedName name="VRN" localSheetId="1">#REF!</definedName>
    <definedName name="VRN" localSheetId="2">#REF!</definedName>
    <definedName name="VRN" localSheetId="8">#REF!</definedName>
    <definedName name="VRN" localSheetId="9">#REF!</definedName>
    <definedName name="VRN" localSheetId="14">#REF!</definedName>
    <definedName name="VRN" localSheetId="0">#REF!</definedName>
    <definedName name="VRN">#REF!</definedName>
    <definedName name="VRNKc" localSheetId="1">#REF!</definedName>
    <definedName name="VRNKc" localSheetId="2">#REF!</definedName>
    <definedName name="VRNKc" localSheetId="8">#REF!</definedName>
    <definedName name="VRNKc" localSheetId="9">#REF!</definedName>
    <definedName name="VRNKc" localSheetId="14">#REF!</definedName>
    <definedName name="VRNKc" localSheetId="0">#REF!</definedName>
    <definedName name="VRNKc">#REF!</definedName>
    <definedName name="VRNnazev" localSheetId="1">#REF!</definedName>
    <definedName name="VRNnazev" localSheetId="2">#REF!</definedName>
    <definedName name="VRNnazev" localSheetId="8">#REF!</definedName>
    <definedName name="VRNnazev" localSheetId="9">#REF!</definedName>
    <definedName name="VRNnazev" localSheetId="14">#REF!</definedName>
    <definedName name="VRNnazev" localSheetId="0">#REF!</definedName>
    <definedName name="VRNnazev">#REF!</definedName>
    <definedName name="VRNproc" localSheetId="1">#REF!</definedName>
    <definedName name="VRNproc" localSheetId="2">#REF!</definedName>
    <definedName name="VRNproc" localSheetId="8">#REF!</definedName>
    <definedName name="VRNproc" localSheetId="9">#REF!</definedName>
    <definedName name="VRNproc" localSheetId="14">#REF!</definedName>
    <definedName name="VRNproc" localSheetId="0">#REF!</definedName>
    <definedName name="VRNproc">#REF!</definedName>
    <definedName name="VRNzakl" localSheetId="1">#REF!</definedName>
    <definedName name="VRNzakl" localSheetId="2">#REF!</definedName>
    <definedName name="VRNzakl" localSheetId="8">#REF!</definedName>
    <definedName name="VRNzakl" localSheetId="9">#REF!</definedName>
    <definedName name="VRNzakl" localSheetId="14">#REF!</definedName>
    <definedName name="VRNzakl" localSheetId="0">#REF!</definedName>
    <definedName name="VRNzakl">#REF!</definedName>
    <definedName name="výpočty" localSheetId="1">#REF!</definedName>
    <definedName name="výpočty" localSheetId="2">#REF!</definedName>
    <definedName name="výpočty" localSheetId="8">#REF!</definedName>
    <definedName name="výpočty" localSheetId="9">#REF!</definedName>
    <definedName name="výpočty" localSheetId="14">#REF!</definedName>
    <definedName name="výpočty">#REF!</definedName>
    <definedName name="vystup" localSheetId="1">#REF!</definedName>
    <definedName name="vystup" localSheetId="2">#REF!</definedName>
    <definedName name="vystup" localSheetId="8">#REF!</definedName>
    <definedName name="vystup" localSheetId="9">#REF!</definedName>
    <definedName name="vystup" localSheetId="14">#REF!</definedName>
    <definedName name="vystup">#REF!</definedName>
    <definedName name="vzduchna" localSheetId="2">{#N/A,#N/A,TRUE,"Krycí list"}</definedName>
    <definedName name="vzduchna" localSheetId="4">{#N/A,#N/A,TRUE,"Krycí list"}</definedName>
    <definedName name="vzduchna" localSheetId="6">{#N/A,#N/A,TRUE,"Krycí list"}</definedName>
    <definedName name="vzduchna" localSheetId="7">{#N/A,#N/A,TRUE,"Krycí list"}</definedName>
    <definedName name="vzduchna" localSheetId="9">{#N/A,#N/A,TRUE,"Krycí list"}</definedName>
    <definedName name="vzduchna" localSheetId="11">{#N/A,#N/A,TRUE,"Krycí list"}</definedName>
    <definedName name="vzduchna" localSheetId="13">{#N/A,#N/A,TRUE,"Krycí list"}</definedName>
    <definedName name="vzduchna" localSheetId="15">{#N/A,#N/A,TRUE,"Krycí list"}</definedName>
    <definedName name="vzduchna" localSheetId="0">{#N/A,#N/A,TRUE,"Krycí list"}</definedName>
    <definedName name="vzduchna">{#N/A,#N/A,TRUE,"Krycí list"}</definedName>
    <definedName name="Weak" localSheetId="2">{#N/A,#N/A,TRUE,"Krycí list"}</definedName>
    <definedName name="Weak" localSheetId="4">{#N/A,#N/A,TRUE,"Krycí list"}</definedName>
    <definedName name="Weak" localSheetId="6">{#N/A,#N/A,TRUE,"Krycí list"}</definedName>
    <definedName name="Weak" localSheetId="7">{#N/A,#N/A,TRUE,"Krycí list"}</definedName>
    <definedName name="Weak" localSheetId="9">{#N/A,#N/A,TRUE,"Krycí list"}</definedName>
    <definedName name="Weak" localSheetId="11">{#N/A,#N/A,TRUE,"Krycí list"}</definedName>
    <definedName name="Weak" localSheetId="13">{#N/A,#N/A,TRUE,"Krycí list"}</definedName>
    <definedName name="Weak" localSheetId="15">{#N/A,#N/A,TRUE,"Krycí list"}</definedName>
    <definedName name="Weak" localSheetId="0">{#N/A,#N/A,TRUE,"Krycí list"}</definedName>
    <definedName name="Weak">{#N/A,#N/A,TRUE,"Krycí list"}</definedName>
    <definedName name="wrn.Kontrolní._.rozpočet." localSheetId="2">{#N/A,#N/A,TRUE,"Krycí list"}</definedName>
    <definedName name="wrn.Kontrolní._.rozpočet." localSheetId="4">{#N/A,#N/A,TRUE,"Krycí list"}</definedName>
    <definedName name="wrn.Kontrolní._.rozpočet." localSheetId="6">{#N/A,#N/A,TRUE,"Krycí list"}</definedName>
    <definedName name="wrn.Kontrolní._.rozpočet." localSheetId="7">{#N/A,#N/A,TRUE,"Krycí list"}</definedName>
    <definedName name="wrn.Kontrolní._.rozpočet." localSheetId="9">{#N/A,#N/A,TRUE,"Krycí list"}</definedName>
    <definedName name="wrn.Kontrolní._.rozpočet." localSheetId="11">{#N/A,#N/A,TRUE,"Krycí list"}</definedName>
    <definedName name="wrn.Kontrolní._.rozpočet." localSheetId="13">{#N/A,#N/A,TRUE,"Krycí list"}</definedName>
    <definedName name="wrn.Kontrolní._.rozpočet." localSheetId="15">{#N/A,#N/A,TRUE,"Krycí list"}</definedName>
    <definedName name="wrn.Kontrolní._.rozpočet." localSheetId="0">{#N/A,#N/A,TRUE,"Krycí list"}</definedName>
    <definedName name="wrn.Kontrolní._.rozpočet.">{#N/A,#N/A,TRUE,"Krycí list"}</definedName>
    <definedName name="wrn.Kontrolní._.rozpoeet." localSheetId="2">{#N/A,#N/A,TRUE,"Krycí list"}</definedName>
    <definedName name="wrn.Kontrolní._.rozpoeet." localSheetId="4">{#N/A,#N/A,TRUE,"Krycí list"}</definedName>
    <definedName name="wrn.Kontrolní._.rozpoeet." localSheetId="6">{#N/A,#N/A,TRUE,"Krycí list"}</definedName>
    <definedName name="wrn.Kontrolní._.rozpoeet." localSheetId="7">{#N/A,#N/A,TRUE,"Krycí list"}</definedName>
    <definedName name="wrn.Kontrolní._.rozpoeet." localSheetId="9">{#N/A,#N/A,TRUE,"Krycí list"}</definedName>
    <definedName name="wrn.Kontrolní._.rozpoeet." localSheetId="11">{#N/A,#N/A,TRUE,"Krycí list"}</definedName>
    <definedName name="wrn.Kontrolní._.rozpoeet." localSheetId="13">{#N/A,#N/A,TRUE,"Krycí list"}</definedName>
    <definedName name="wrn.Kontrolní._.rozpoeet." localSheetId="15">{#N/A,#N/A,TRUE,"Krycí list"}</definedName>
    <definedName name="wrn.Kontrolní._.rozpoeet." localSheetId="0">{#N/A,#N/A,TRUE,"Krycí list"}</definedName>
    <definedName name="wrn.Kontrolní._.rozpoeet.">{#N/A,#N/A,TRUE,"Krycí list"}</definedName>
    <definedName name="zahrnsazby" localSheetId="1">#REF!</definedName>
    <definedName name="zahrnsazby" localSheetId="2">#REF!</definedName>
    <definedName name="zahrnsazby" localSheetId="7">#REF!</definedName>
    <definedName name="zahrnsazby" localSheetId="8">#REF!</definedName>
    <definedName name="zahrnsazby" localSheetId="9">#REF!</definedName>
    <definedName name="zahrnsazby" localSheetId="14">#REF!</definedName>
    <definedName name="zahrnsazby" localSheetId="15">#REF!</definedName>
    <definedName name="zahrnsazby">#REF!</definedName>
    <definedName name="zahrnslevy" localSheetId="1">#REF!</definedName>
    <definedName name="zahrnslevy" localSheetId="2">#REF!</definedName>
    <definedName name="zahrnslevy" localSheetId="8">#REF!</definedName>
    <definedName name="zahrnslevy" localSheetId="9">#REF!</definedName>
    <definedName name="zahrnslevy" localSheetId="14">#REF!</definedName>
    <definedName name="zahrnslevy">#REF!</definedName>
    <definedName name="Zakazka" localSheetId="1">#REF!</definedName>
    <definedName name="Zakazka" localSheetId="2">#REF!</definedName>
    <definedName name="Zakazka" localSheetId="8">#REF!</definedName>
    <definedName name="Zakazka" localSheetId="9">#REF!</definedName>
    <definedName name="Zakazka" localSheetId="14">#REF!</definedName>
    <definedName name="Zakazka" localSheetId="0">#REF!</definedName>
    <definedName name="Zakazka">#REF!</definedName>
    <definedName name="Zaklad22" localSheetId="1">#REF!</definedName>
    <definedName name="Zaklad22" localSheetId="2">#REF!</definedName>
    <definedName name="Zaklad22" localSheetId="8">#REF!</definedName>
    <definedName name="Zaklad22" localSheetId="9">#REF!</definedName>
    <definedName name="Zaklad22" localSheetId="14">#REF!</definedName>
    <definedName name="Zaklad22" localSheetId="0">#REF!</definedName>
    <definedName name="Zaklad22">#REF!</definedName>
    <definedName name="Zaklad5" localSheetId="1">#REF!</definedName>
    <definedName name="Zaklad5" localSheetId="2">#REF!</definedName>
    <definedName name="Zaklad5" localSheetId="8">#REF!</definedName>
    <definedName name="Zaklad5" localSheetId="9">#REF!</definedName>
    <definedName name="Zaklad5" localSheetId="14">#REF!</definedName>
    <definedName name="Zaklad5" localSheetId="0">#REF!</definedName>
    <definedName name="Zaklad5">#REF!</definedName>
    <definedName name="Zhotovitel" localSheetId="1">#REF!</definedName>
    <definedName name="Zhotovitel" localSheetId="2">#REF!</definedName>
    <definedName name="Zhotovitel" localSheetId="4">#REF!</definedName>
    <definedName name="Zhotovitel" localSheetId="6">#REF!</definedName>
    <definedName name="Zhotovitel" localSheetId="7">#REF!</definedName>
    <definedName name="Zhotovitel" localSheetId="8">#REF!</definedName>
    <definedName name="Zhotovitel" localSheetId="9">#REF!</definedName>
    <definedName name="Zhotovitel" localSheetId="11">#REF!</definedName>
    <definedName name="Zhotovitel" localSheetId="13">#REF!</definedName>
    <definedName name="Zhotovitel" localSheetId="14">#REF!</definedName>
    <definedName name="Zhotovitel" localSheetId="15">#REF!</definedName>
    <definedName name="Zhotovitel" localSheetId="0">'KRYCÍ LIST'!$D$9</definedName>
    <definedName name="Zhotovitel">#REF!</definedName>
    <definedName name="_xlnm.Print_Titles" localSheetId="10">'2.2.H Zdravotechnika'!$6:$6</definedName>
    <definedName name="_xlnm.Print_Titles" localSheetId="11">'2.2.M Zdravotechnika'!$6:$6</definedName>
  </definedNames>
  <calcPr calcId="145621"/>
  <extLst/>
</workbook>
</file>

<file path=xl/sharedStrings.xml><?xml version="1.0" encoding="utf-8"?>
<sst xmlns="http://schemas.openxmlformats.org/spreadsheetml/2006/main" count="3960" uniqueCount="1479">
  <si>
    <t>Stavba :</t>
  </si>
  <si>
    <t xml:space="preserve">HRNČÍŘSKÁ 3, 5, 7, 11 A MASARYKOVA TŘÍDA 14 - VÝMĚNA OKEN, </t>
  </si>
  <si>
    <t xml:space="preserve">Investor : </t>
  </si>
  <si>
    <t xml:space="preserve">Zhotovitel : </t>
  </si>
  <si>
    <t>Architektonická kancelář Ing. arch. Jaroslav Chvátal</t>
  </si>
  <si>
    <t>Za zhotovitele :</t>
  </si>
  <si>
    <t>Za investora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</si>
  <si>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</si>
  <si>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</si>
  <si>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</si>
  <si>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</si>
  <si>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</si>
  <si>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</si>
  <si>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</si>
  <si>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</si>
  <si>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</si>
  <si>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</si>
  <si>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 xml:space="preserve">NÁKLADY </t>
  </si>
  <si>
    <t>SAT-TV</t>
  </si>
  <si>
    <t>Celkem za stavbu</t>
  </si>
  <si>
    <t>Poznámka:</t>
  </si>
  <si>
    <t>Vedlejší rozpočtové náklady, náklady na provoz a zařízení staveniště, apod. a přesuny hmot u PSV jsou zahrnuty v jednotkových cenách jednotlivých položek - není-li uvedeno jinak.</t>
  </si>
  <si>
    <t>Zhotovitel je povinen provést na svůj náklad a své nebezpečí veškeré práce a dodávky, které jsou v projektové dokumentaci obsaženy, bez ohledu na to, zda jsou  obsaženy v textové a nebo ve výkresové části, jakož i práce, které v dokumentaci sice obsaženy nejsou, ale které jsou nezbytné pro provedení díla a jeho řádné fungování. Je v zájmu zhotovitele jako odborné firmy se řádně seznámit s projektovou dokumentací a pečlivě ji překontroloval a uvažovat s tím, že investor nebude brát zřetel na požadavky a námitky zhotovitele vyplývající z vad, nedostatečného či chybného popisu díla v projektové dokumentaci.</t>
  </si>
  <si>
    <t xml:space="preserve">Položkový rozpočet je zpracován na podkladě projektové dokumentace pro stavební povolení. 
Nedílnou součástí tohoto položkového rozpočtu je projektová dokumentace pro stavební povolení. </t>
  </si>
  <si>
    <t>Investor:   Statutární město Opava, Horní náměstí 69, Opava 746 26</t>
  </si>
  <si>
    <t>kus</t>
  </si>
  <si>
    <t>Celkem</t>
  </si>
  <si>
    <t>Jednotkové položky zahrnují vedlejší rozpočtové náklady, náklady na montáž, dopravu, apod. a předepsané zkoušky, revize, manipulační řády, zaškolení obsluhy, není-li uvedeno jinak.</t>
  </si>
  <si>
    <t>Stavba:   HRNČÍŘSKÁ 3, 5, 7, 11 A MASARYKOVA TŘÍDA 14 - VÝMĚNA OKEN, OPRAVA STŘECHY A ZATEPLENÍ</t>
  </si>
  <si>
    <t>Část:   Stavební rozpočet</t>
  </si>
  <si>
    <t>P.Č.</t>
  </si>
  <si>
    <t>KCN</t>
  </si>
  <si>
    <t>Kód položky</t>
  </si>
  <si>
    <t>Popis</t>
  </si>
  <si>
    <t>MJ</t>
  </si>
  <si>
    <t>Množství celkem</t>
  </si>
  <si>
    <t>Cena jednotková</t>
  </si>
  <si>
    <t>1</t>
  </si>
  <si>
    <t>2</t>
  </si>
  <si>
    <t>3</t>
  </si>
  <si>
    <t>4</t>
  </si>
  <si>
    <t>5</t>
  </si>
  <si>
    <t>6</t>
  </si>
  <si>
    <t>7</t>
  </si>
  <si>
    <t>HSV</t>
  </si>
  <si>
    <t>Práce a dodávky HSV</t>
  </si>
  <si>
    <t>Zemní práce</t>
  </si>
  <si>
    <t>Rozebrání dlažeb z mozaiky komunikací pro pěší ručně</t>
  </si>
  <si>
    <t>m2</t>
  </si>
  <si>
    <t>" Rozebrání mozaiky v šíři 1,3m uliční část " 1,3*(75+17,3+26+3+26,3+62,4+20,3)</t>
  </si>
  <si>
    <t>Hloubení jam nezapažených v hornině tř. 3 objemu do 1000 m3</t>
  </si>
  <si>
    <t>m3</t>
  </si>
  <si>
    <t>" Výkop pro zemnící pásky " 1*0,5*126,5</t>
  </si>
  <si>
    <t>Zřízení příložného pažení stěn výkopu hl do 4 m</t>
  </si>
  <si>
    <t>Odstranění příložného pažení stěn hl do 4 m</t>
  </si>
  <si>
    <t>Zřízení rozepření stěn při pažení příložném hl do 4 m</t>
  </si>
  <si>
    <t>Odstranění rozepření stěn při pažení příložném hl do 4 m</t>
  </si>
  <si>
    <t>Svislé přemístění výkopku z horniny tř. 1 až 4 hl výkopu do 2,5 m</t>
  </si>
  <si>
    <t>" Svislé přemístění výkopku  bez naložení do dopravní nádoby avšak s vyprázdněním dopravní nádoby na hromadu nebo do dopravního prostředku z horniny tř. 1 až 4, při hloubce výkopu přes 1 do 2,5 m "</t>
  </si>
  <si>
    <t>Vodorovné přemístění do 50 m výkopku/sypaniny z horniny tř. 1 až 4</t>
  </si>
  <si>
    <t>" Vodorovné přemístění výkopku nebo sypaniny po suchu  na obvyklém dopravním prostředku, bez naložení výkopku, avšak se složením bez rozhrnutí z horniny tř. 1 až 4 na vzdálenost přes 20 do 50 m "</t>
  </si>
  <si>
    <t>Uložení sypaniny do násypů nezhutněných</t>
  </si>
  <si>
    <t>" Uložení sypaniny do násypů  s rozprostřením sypaniny ve vrstvách a s hrubým urovnáním nezhutněných z jakýchkoliv hornin "</t>
  </si>
  <si>
    <t>Zásyp jam, šachet rýh nebo kolem objektů sypaninou se zhutněním</t>
  </si>
  <si>
    <t>" Zásyp sypaninou z jakékoliv horniny  s uložením výkopku ve vrstvách se zhutněním jam, šachet, rýh nebo kolem objektů v těchto vykopávkách "</t>
  </si>
  <si>
    <t>kamenivo drcené hrubé frakce 16-32</t>
  </si>
  <si>
    <t>t</t>
  </si>
  <si>
    <t>Svislé a kompletní konstrukce</t>
  </si>
  <si>
    <t>311</t>
  </si>
  <si>
    <t>Zdivo nosné z cihel dl 250 mm  P15 na MVC</t>
  </si>
  <si>
    <t>" Zdivo z cihel pálených nosné z cihel plných dl. 250 mm P 15 na maltu MVC drobné dozdívky "</t>
  </si>
  <si>
    <t>" Nadezdívka v půdním prostoru " 0,5*0,3*9</t>
  </si>
  <si>
    <t>" Nadezdění štítových stěn mezi objekty " 0,5*0,3*(13+12,5)</t>
  </si>
  <si>
    <t>Zdivo z pórobetonových tvárnic hladkých do P2 do 450 kg/m3 na tenkovrstvou maltu tl 250 mm</t>
  </si>
  <si>
    <t>" Dozdění upraveného stavebního otvoru " 2*(1,25*3,2)</t>
  </si>
  <si>
    <t>" Dozdění lodžií " 3*(7,1*2*0,5)</t>
  </si>
  <si>
    <t>" Zdivo z pórobetonových tvárnic hladkých drobné dozdívky "</t>
  </si>
  <si>
    <t>Příčka z pórobetonových hladkých tvárnic na tenkovrstvou maltu tl 125 mm</t>
  </si>
  <si>
    <t>" Příčky z pórobetonových hladkých tvárnic drobné dozdívky "</t>
  </si>
  <si>
    <t>" Vyzdění WC kabiny " 4,1*2,7</t>
  </si>
  <si>
    <t>Vodorovné konstrukce</t>
  </si>
  <si>
    <t>Stropy deskové ze ŽB tř. C 20/25</t>
  </si>
  <si>
    <t>" Prodloužení balkonových desek " (0,2*2,1*17+0,2*2,7*8+0,2*3,1*8+0,2*2,1*4+0,2*2,4*1+0,2*2,1*10)*0,25</t>
  </si>
  <si>
    <t>Zřízení bednění balkonových desek přímočarých včetně podpěrné konstrukce</t>
  </si>
  <si>
    <t>" Bednění balkonových desek včetně podpěrné konstrukce půdorysně přímočarých zřízení " 47*2,1*1</t>
  </si>
  <si>
    <t>Odstranění bednění balkonových desek přímočarých včetně podpěrné konstrukce v do 4 m</t>
  </si>
  <si>
    <t>Příplatek ke zřízení bednění balkonových desek za podpěrnou konstrukci přes 4 do 6 m</t>
  </si>
  <si>
    <t>" Bednění balkonových desek včetně podpěrné konstrukce Příplatek k cenám za podpěrnou konstrukci o výšce přes 4 do 6 m zřízení "</t>
  </si>
  <si>
    <t>Příplatek k odstranění bednění balkonových desek za podpěrnou konstrukci přes 4 do 6 m</t>
  </si>
  <si>
    <t>Ztužující pásy a věnce ze ŽB tř. C 20/25</t>
  </si>
  <si>
    <t>" Nadbetonování římsy " ((0,65*0,08)+(0,2*0,15))*(75+17,3+26,1+15,1+26,4+84,1+75+17,3+26,1+15,1+26,4)</t>
  </si>
  <si>
    <t>Zřízení bednění ztužujících věnců</t>
  </si>
  <si>
    <t>" Bednění nadbetonování římsy " 0,8*(75+17,3+26,1+15,1+26,4+84,1+75+17,3+26,1+15,1+26,4)</t>
  </si>
  <si>
    <t>Odstranění bednění ztužujících věnců</t>
  </si>
  <si>
    <t>Výztuž ztužujících pásů a věnců betonářskou ocelí 10 505</t>
  </si>
  <si>
    <t>" Výztuž nadbetonování římsy " 20,1*0,1</t>
  </si>
  <si>
    <t>41799901R</t>
  </si>
  <si>
    <t>Prefa hlavice broušené teraco - Specifikace dle PD</t>
  </si>
  <si>
    <t>" Prefa hlavice z broušeného teraca osazená na balkonech " 7*(0,5*0,1*3)+7*(0,5*0,3*3)</t>
  </si>
  <si>
    <t>Schodišťová konstrukce a rampa ze ŽB tř. C 20/25</t>
  </si>
  <si>
    <t>" Vstup prodejna zdravé výživy " (0,15*0,3*3)*2</t>
  </si>
  <si>
    <t>" Vstup pekárna " (0,18*0,3*3)*2</t>
  </si>
  <si>
    <t>Výztuž schodišťové konstrukce a rampy betonářskou ocelí 10 505</t>
  </si>
  <si>
    <t>" Výztuž schodišťových stupňů "</t>
  </si>
  <si>
    <t>Zřízení bednění stupňů přímočarých schodišť</t>
  </si>
  <si>
    <t>" Bednění stupně - prodejna zdravé výživy " (3,3*0,2)*2</t>
  </si>
  <si>
    <t>" Bednění stupně - pekárna " (3,3*0,2)*2</t>
  </si>
  <si>
    <t>Odstranění bednění stupňů přímočarých schodišť</t>
  </si>
  <si>
    <t>" Odstranění bednění stupňů "</t>
  </si>
  <si>
    <t>Komunikace</t>
  </si>
  <si>
    <t>Kladení dlažby z mozaiky jednobarevné komunikací pro pěší lože z kameniva</t>
  </si>
  <si>
    <t>" Zpětné zadláždění " 1,3*(75+17,3+26+3+26,3+62,4+20,3)</t>
  </si>
  <si>
    <t>kostka dlažební mozaika žula 4/6 tř 1</t>
  </si>
  <si>
    <t>" nahrazení poškozené dlažby 30% " 299,4*0,3</t>
  </si>
  <si>
    <t>Úpravy povrchu, podlahy, osazení</t>
  </si>
  <si>
    <t>Vápenocementová omítka hladká jednovrstvá vnitřních stěn nanášená ručně</t>
  </si>
  <si>
    <t>" Omítka vápenocementová vnitřních ploch  nanášená ručně jednovrstvá, tloušťky do 10 mm hladká svislých konstrukcí stěn "</t>
  </si>
  <si>
    <t>Vápenocementová omítka hrubá jednovrstvá zatřená vnějších stěn nanášená ručně</t>
  </si>
  <si>
    <t>" Omítka Hrnčířská 3 - 4NP-6NP " ((19,7+5,4)*8,7)-15*2,7</t>
  </si>
  <si>
    <t>" Omítka obvodová stěna půdních vestaveb Hrnčířská 5, 7, 11 " 0,8*(17,3+75)</t>
  </si>
  <si>
    <t>" Omítka vnitřní stěny lodžie " 3*(6,2*3)</t>
  </si>
  <si>
    <t>Vápenocementová omítka hladká jednovrstvá vnějších stěn nanášená ručně</t>
  </si>
  <si>
    <t>Cementový postřik vnějších ploch nanášený celoplošně ručně</t>
  </si>
  <si>
    <t>621</t>
  </si>
  <si>
    <t>Cementová omítka hrubá jednovrstvá zatřená vnějších povrchů nanášená ručně</t>
  </si>
  <si>
    <t>Cementová omítka hrubá jednovrstvá nezatřená vnějších podhledů nanášená ručně</t>
  </si>
  <si>
    <t>" Omítka vyspravených balkonových desek " 2,1*0,8*17+2,7*0,8*8+0,8*3,1*8+2,1*0,35*4+2,4*0,8*1+2,1*0,8*10</t>
  </si>
  <si>
    <t>Oprava cementové škrábané omítky vnějších stěn v rozsahu do 30%</t>
  </si>
  <si>
    <t>" Oprava lokálních poruch omítky uliční fasáda Hrnčířská 3 - 2NP-3NP " ((19,7*6)-10*3,8)*0,3</t>
  </si>
  <si>
    <t>622335202R</t>
  </si>
  <si>
    <t>Injektáž prasklin v teracu rozsah do 40%</t>
  </si>
  <si>
    <t>629995201R</t>
  </si>
  <si>
    <t>Očištění vnějších ploch kombinace chemických a mikroabrazivních technologií</t>
  </si>
  <si>
    <t>632</t>
  </si>
  <si>
    <t>Doplnění cementového potěru hlazeného pl do 1 m2 tl do 20 mm</t>
  </si>
  <si>
    <t>" Doplnění schodišťového stupně " 0,5*1,5*0,2</t>
  </si>
  <si>
    <t>Ostatní práce a dodávky</t>
  </si>
  <si>
    <t>Demontáž poklopů litinových nebo ocelových včetně rámů hmotnosti přes 100 do 150 kg</t>
  </si>
  <si>
    <t>" Demontáž poklopu zrušeného hydraulického výtahu "</t>
  </si>
  <si>
    <t>m</t>
  </si>
  <si>
    <t>Montáž lešení řadového trubkového těžkého s podlahami zatížení do 300 kg/m2 š do 1,5 m v do 20 m</t>
  </si>
  <si>
    <t>" Venkovní lešení včetně ochranného zábradlí, podlahových zarážek, závětrování, zakrývání otvorů, prvků a konstrukcí proti znečištění a poškození" 18,6*(76+17,3+27,1+17,1+27,4+85)</t>
  </si>
  <si>
    <t>Příplatek k lešení řadovému trubkovému těžkému s podlahami š 1,5 m v 20 m za první a ZKD den použití</t>
  </si>
  <si>
    <t>" Předpokládaná doba výstavby 90 dní " 90*4648,2</t>
  </si>
  <si>
    <t>941</t>
  </si>
  <si>
    <t>Demontáž lešení řadového trubkového těžkého s podlahami zatížení do 300 kg/m2 š do 1,5 m v do 20 m</t>
  </si>
  <si>
    <t>" Součástí ceny demontáže je zapravení otvorů po lešenářských kotvách systémovými ucpávkami a jejich povrchová úprava "</t>
  </si>
  <si>
    <t>Montáž ochranné sítě z textilie z umělých vláken</t>
  </si>
  <si>
    <t>" Montáž ochranné sítě  zavěšené na konstrukci lešení z textilie z umělých vláken "</t>
  </si>
  <si>
    <t>Příplatek k ochranné síti za první a ZKD den použití</t>
  </si>
  <si>
    <t>Demontáž ochranné sítě z textilie z umělých vláken</t>
  </si>
  <si>
    <t>Montáž záchytné stříšky š do 2 m</t>
  </si>
  <si>
    <t>" Montáž záchytné stříšky  zřizované současně s lehkým nebo těžkým lešením, šířky přes 1,5 do 2,0 m "</t>
  </si>
  <si>
    <t>Příplatek k záchytné stříšce š do 2 m za první a ZKD den použití</t>
  </si>
  <si>
    <t>" Předpokládaná doba výstavby 90 dní " 90*63</t>
  </si>
  <si>
    <t>Demontáž záchytné stříšky š do 2 m</t>
  </si>
  <si>
    <t>952</t>
  </si>
  <si>
    <t>Vyčištění budov bytové a občanské výstavby při výšce podlaží do 4 m</t>
  </si>
  <si>
    <t>" Vyčištění půdního prostoru 7NP " 22,2*14,8</t>
  </si>
  <si>
    <t>Bourání příček z cihel pálených na MVC tl do 150 mm</t>
  </si>
  <si>
    <t>" Vybourání zazdění původního výkladce v prodejně řeznictví " 5,3*3,2</t>
  </si>
  <si>
    <t>Bourání zdiva z cihel pálených nebo vápenopískových na MC přes 1 m3</t>
  </si>
  <si>
    <t>" Vybourání dodatečného zazdění prodejna KNAPPE " 0,3*1,8*(2,9+2,9)</t>
  </si>
  <si>
    <t>" Bourání zídek lodžie " 3*(7,1*2*0,5)</t>
  </si>
  <si>
    <t>Bourání schodišťových stupňů betonových zhotovených na místě</t>
  </si>
  <si>
    <t>" Vybourání šikmých betonových prahů " 1,1+1,2+3,1</t>
  </si>
  <si>
    <t>" Vybourání schodišťového stupně ext. schodiště "</t>
  </si>
  <si>
    <t>Bourání podkladů pod dlažby betonových s potěrem nebo teracem tl do 100 mm pl přes 4 m2</t>
  </si>
  <si>
    <t>" Vybourání teraco mazaniny v prodejně KNAPPE " 0,1*(4,8*3,5)</t>
  </si>
  <si>
    <t>Bourání podkladů pod dlažby betonových s potěrem nebo teracem tl do 150 mm pl do 4 m2</t>
  </si>
  <si>
    <t>" Odstranění spádových vrstev balkonových desek " ((0,75*2,1)*25+(0,75*2,7)*6+2,4*0,75+(3,7*1,2)*3+(3,1*0,75)*4)*0,15</t>
  </si>
  <si>
    <t>Odstranění násypů pod podlahami tl do 100 mm pl přes 2 m2</t>
  </si>
  <si>
    <t>" Odstranění násypu a stavební suti v půdním prostoru 7NP " 22,2*14,8</t>
  </si>
  <si>
    <t>Demontáž krytiny ocelových střech z tvarovaných ocelových plechů šroubovaných budov v do 24 m</t>
  </si>
  <si>
    <t>" Demontáž krytiny Hrnčířská 3 " 3,2*5,8</t>
  </si>
  <si>
    <t>Přisekání rovných ostění v cihelném zdivu na MV nebo MVC</t>
  </si>
  <si>
    <t>" Přisekání (špicování) plošné nebo rovných ostění zdiva z cihel pálených  rovných ostění, bez odstupu, po hrubém vybourání otvorů, na maltu vápennou nebo vápenocementovou "</t>
  </si>
  <si>
    <t>Vybourání otvorů ve zdivu cihelném pl do 0,25 m2 na MVC nebo MV tl do 300 mm</t>
  </si>
  <si>
    <t>" Vybourání prostupů pro kanalizaci a vodovod "</t>
  </si>
  <si>
    <t>Vysekání rýh v podlahové konstrukci hl do 200 mm š do 150 mm</t>
  </si>
  <si>
    <t>" Vysekání rýh v podlaze pro nové vedení kanalizace a rozvodu vody "</t>
  </si>
  <si>
    <t>Otlučení (osekání) cementových omítek vnějších ploch v rozsahu do 30 %</t>
  </si>
  <si>
    <t>" Otlučení stávající omítky ve dvorní části 1PP " (30,4*1)*0,3</t>
  </si>
  <si>
    <t>Otlučení (osekání) cementových omítek vnějších ploch v rozsahu do 100 %</t>
  </si>
  <si>
    <t>" Otlučení stávající omítky ve dvorní části 1PP " 84,1*1,1</t>
  </si>
  <si>
    <t>" Otlučení stávající omítky ve dvorní části 1NP " ((84,1+30,4)*1,6)-13*2,6-5*2,7</t>
  </si>
  <si>
    <t>" Otlučení stávající omítky v průchodu " 2*(12,5*3,1)</t>
  </si>
  <si>
    <t>" Otlučení stávající omítky ve dvorní části 2NP-4NP " ((84,1+30,4)*9,2)-61*2,6-27*3,9</t>
  </si>
  <si>
    <t>Otlučení omítky a odstranění izolace z desek hmotnosti přes 120 kg/m3 tl přes 50 mm pl přes 1 m2</t>
  </si>
  <si>
    <t>" Odstranění stávajícího zateplení v průjezdu " 3,8*12,5+2*(12,5*3,4)</t>
  </si>
  <si>
    <t>97899901R</t>
  </si>
  <si>
    <t>Náklady spojené s odvozem a uložením sypaniny</t>
  </si>
  <si>
    <t>" V položce zahrnuto naložení, odvoz sypaniny, složení a rozprostření sypaniny, hrubé terénní úpravy, likvidace v souladu se zákonem č. 185/2001 Sb., o odpadech, dle technologie a místa určené zhotovitelem, včetně poplatků za uložení sypaniny. "</t>
  </si>
  <si>
    <t>997013501R</t>
  </si>
  <si>
    <t>Náklady spojené s odvozem a uložením suti</t>
  </si>
  <si>
    <t xml:space="preserve">" Včetně naložení, svislého a vodorovného přesunu suti, odvoz stavební suti, likvidace v souladu se zákonem č. 185/2001 Sb., o odpadech dle technologie a místa určené zhotovitelem, včetně poplatků za uložení odpadu " </t>
  </si>
  <si>
    <t>99</t>
  </si>
  <si>
    <t>Přesun hmot</t>
  </si>
  <si>
    <t>Přesun hmot pro budovy zděné v do 12 m</t>
  </si>
  <si>
    <t>95399901R</t>
  </si>
  <si>
    <t>Stavební práce a dodávky spojené s provedením funkčního celku HSV</t>
  </si>
  <si>
    <t xml:space="preserve">" - Výpomoce, doplňkové práce a dodávky,kompletace, zapravení vzniklých poškození, níže neuvedené, apod. " </t>
  </si>
  <si>
    <t>95399902R</t>
  </si>
  <si>
    <t>Stavební práce a dodávky spojené s provedením funkčního celku PSV</t>
  </si>
  <si>
    <t>PSV</t>
  </si>
  <si>
    <t>Práce a dodávky PSV</t>
  </si>
  <si>
    <t>Izolace proti vodě, vlhkosti a plynům</t>
  </si>
  <si>
    <t>711131811R</t>
  </si>
  <si>
    <t>Odstranění střešní izolace proti vlhkosti</t>
  </si>
  <si>
    <t>" Odstranění lepenky a vrstvy škvárobetonu vikýř Hrnčířská 3 " 3,2*5,8</t>
  </si>
  <si>
    <t>Přesun hmot procentní pro izolace proti vodě, vlhkosti a plynům v objektech v do 12 m</t>
  </si>
  <si>
    <t>999711R</t>
  </si>
  <si>
    <t>Stavební práce a dodávky spojené s provedením funkčního celku 711</t>
  </si>
  <si>
    <t xml:space="preserve">" Zednická výpomoc, doplňkové práce, kompletace, zřízení prostupů, zapravení prostupů, apod." </t>
  </si>
  <si>
    <t>Povlakové krytiny</t>
  </si>
  <si>
    <t>Povlaková krytina plochých střech nopovou folií, nopek v 20 mm, tl do 1,0 mm</t>
  </si>
  <si>
    <t>" Zakrytí zateplení stropní konstrukce Hrnčířská 3 " 22,4*14,8</t>
  </si>
  <si>
    <t>71299901R</t>
  </si>
  <si>
    <t>D+M Systémová skladba STŘ6 - Specifikace dle PD</t>
  </si>
  <si>
    <t>" Skladba: "</t>
  </si>
  <si>
    <t>" - folie z PVC-P s výztužnou PES vložkou určená k mechanickému kotvení, HI vrsta tl. 1,5mm "</t>
  </si>
  <si>
    <t>" - sklovláknitá separační netkaná textilie z PE, separační vrstva tl. 2,9mm "</t>
  </si>
  <si>
    <t>" - tepelná izolace desky PIR tl. 160mm, U=0,022 W/m2K "</t>
  </si>
  <si>
    <t>" - pás z SBS modifikovaného asfaltu s jemnozrnným posypem, parotěsnící a vzduchotěsnící vrstva, provizorní HI vrstva tl. 4mm "</t>
  </si>
  <si>
    <t>" - asfaltová vodou ředitelná emulze, přípravný nátěr podkladu "</t>
  </si>
  <si>
    <t>" Vikýř Hrnčířská 3 " 3,2*5,8</t>
  </si>
  <si>
    <t>" - OSB deska P+D tl. 20mm "</t>
  </si>
  <si>
    <t>" - kontralatě 40x60mm "</t>
  </si>
  <si>
    <t>" - samolepící pás z SBS modifikovaného asfaltu se spalitelnou PE folií, doplňková HI vrstva tl. 1,8mm "</t>
  </si>
  <si>
    <t>" - samolepící pás z SBS modifikovaného asfaltu s hliníkovou vložkou a PP střiží, parotěsnící a vzduchotěsnící vrstva, provizorní HI vrstva "</t>
  </si>
  <si>
    <t>Přesun hmot procentní pro krytiny povlakové v objektech v do 12 m</t>
  </si>
  <si>
    <t>999712R</t>
  </si>
  <si>
    <t>Stavební práce a dodávky spojené s provedením funkčního celku 712</t>
  </si>
  <si>
    <t>Izolace tepelné</t>
  </si>
  <si>
    <t>Montáž izolace tepelné vrchem stropů volně kladenými rohožemi, pásy, dílci, deskami</t>
  </si>
  <si>
    <t>" Zateplení stropní konstrukce Hrnčířská 3 " 22,4*14,8</t>
  </si>
  <si>
    <t>" Vložení akustické izolace podhledu " 11,7*(75+17,3+26,1)</t>
  </si>
  <si>
    <t xml:space="preserve">deska podhledová minerální rovná bílá zvukově pohltivá tlumivá </t>
  </si>
  <si>
    <t>pás tepelně izolační pro všechny druhy nezatížených izolací λ=0,038-0,039 tl 120mm</t>
  </si>
  <si>
    <t>pás tepelně izolační pro všechny druhy nezatížených izolací λ=0,038-0,039 tl 160mm</t>
  </si>
  <si>
    <t>Montáž izolace tepelné stěn a základů lepením celoplošně v kombinaci s mechanickým kotvením rohoží, pásů, dílců, desek</t>
  </si>
  <si>
    <t>" Zateplení v okolí římsy - deska z minerální vaty dle PBŘ " 1*(75+17,3+26,1+15,1+26,4+84,1)</t>
  </si>
  <si>
    <t>" Sokl balkonových desek " (2,1*17+2,7*8+3,1*8+2,1*4+2,4*1+2,1*10)*0,3</t>
  </si>
  <si>
    <t>rohož izolační z minerální vlny lamelová s Al fólií 25 kg/m3 600x2500 tl.100mm</t>
  </si>
  <si>
    <t>rohož izolační z minerální vlny lamelová s Al fólií 25 kg/m3 600x12000 tl.20mm</t>
  </si>
  <si>
    <t>deska z polystyrénu XPS, hrana rovná, polo či pero drážka a hladký povrch tl 40mm (sokl balkony)</t>
  </si>
  <si>
    <t>71399901R</t>
  </si>
  <si>
    <t xml:space="preserve">D+M Systémová skladba SK8 - Specifikace dle PD </t>
  </si>
  <si>
    <t>" - samočistící tenkovrstvá omítka, pastovitá s fotokatalytickým efektem, minerální, vysoce paropropustná, zrnitost 1,5 "</t>
  </si>
  <si>
    <t>" - základní nátěr pro vyrovnání nasákavosti a zajištění přilnavosti omítek "</t>
  </si>
  <si>
    <t>" - vysoce přídržná a lepící hmota na bázi cementu "</t>
  </si>
  <si>
    <t>" - vysoce odolná sklotextilní síťovina odolná vůči alkáliím "</t>
  </si>
  <si>
    <t>" - izolant minerální desky s podélnými vlákny tl. 220mm, U=0,038 W/m2K "</t>
  </si>
  <si>
    <t>" Zateplení stropu podhledu v průjezdu " 3,8*12,5</t>
  </si>
  <si>
    <t>71399902R</t>
  </si>
  <si>
    <t xml:space="preserve">D+M Systémová skladba SK9 - Specifikace dle PD </t>
  </si>
  <si>
    <t>" - vysoce kvalitní silikonový nátěr se zvýšenou kryvostí, vysoce paropropustný, extrémně vodo-odpudivý, odolný vůči  znečištění, použitelný v exteriéru "</t>
  </si>
  <si>
    <t>" - omítka z renovační stěrky se štukovým povrchem, vyztužená vlákny "</t>
  </si>
  <si>
    <t>" Zateplení stropu podhledu zásobování " 4*4,4</t>
  </si>
  <si>
    <t>71399903R</t>
  </si>
  <si>
    <t xml:space="preserve">D+M Systémová skladba OS14 - nuty - Specifikace dle PD </t>
  </si>
  <si>
    <t>" - samočistící tenkovrstvá omítka, pastovitá omítka s fotokatalytickým efektem, minerální, vysoce paropropustná, zrnitost 1,5 "</t>
  </si>
  <si>
    <t>" - vysoce jakostní základní nátěr "</t>
  </si>
  <si>
    <t>" - izolant minerální desky s podélnými vlákny tl. 160mm, U=0,038 W/m2K "</t>
  </si>
  <si>
    <t>" Uliční fasáda Hrnčířská 3 - 2NP-3NP " (19,7*6)-10*3,8</t>
  </si>
  <si>
    <t>71399904R</t>
  </si>
  <si>
    <t xml:space="preserve">D+M Systémová skladba OS14 - Specifikace dle PD </t>
  </si>
  <si>
    <t>" Zateplovací systém OS14 "</t>
  </si>
  <si>
    <t>" Dvorní část ul. Hrnčířská a Masarykova, včetně průjezdu " (21,7*19+118,8*13,4)-23*3,9-59*2,7+(12,5*3,1)*2-323,3</t>
  </si>
  <si>
    <t>" Hrnčířská 3 - 4NP-6NP " ((19,7+5,4)*8,7)-15*2,7</t>
  </si>
  <si>
    <t>" Obvodová stěna půdních vestaveb Hrnčířská 5, 7, 11 " 0,8*(17,3+75)</t>
  </si>
  <si>
    <t>71399905R</t>
  </si>
  <si>
    <t xml:space="preserve">D+M Systémová skladba OS14 - dvorní část - panceřová omítka - Specifikace dle PD </t>
  </si>
  <si>
    <t>" Zateplovací systém OS14 - dvorní část - panceřová omítka "</t>
  </si>
  <si>
    <t>" - 2x vysoce odolná sklotextilní síťovina odolná vůči alkáliím "</t>
  </si>
  <si>
    <t>71399906R</t>
  </si>
  <si>
    <t xml:space="preserve">D+M Systémová skladba OS14 - zúžený izoant - Specifikace dle PD </t>
  </si>
  <si>
    <t>" - izolant minerální desky s podélnými vlákny tl. 80mm, U=0,038 W/m2K "</t>
  </si>
  <si>
    <t>" Zateplení mezi kordonovou římsou a parapetní římsou 2NP " 1*(17,3+75)</t>
  </si>
  <si>
    <t>71399907R</t>
  </si>
  <si>
    <t xml:space="preserve">D+M Systémová skladba OS16 - panceřová omítka - Specifikace dle PD </t>
  </si>
  <si>
    <t>" Zateplovací systém OS16 - panceřová omítka "</t>
  </si>
  <si>
    <t>" Vnitřní stěny lodžie " 3*(6,2*3)</t>
  </si>
  <si>
    <t>Přesun hmot procentní pro izolace tepelné v objektech v do 12 m</t>
  </si>
  <si>
    <t>999713R</t>
  </si>
  <si>
    <t>Stavební práce a dodávky spojené s provedením funkčního celku 713</t>
  </si>
  <si>
    <t>Ústřední vytápění</t>
  </si>
  <si>
    <t>Demontáž otopného tělesa panelového jednořadého délka do 1500 mm</t>
  </si>
  <si>
    <t>" Demontáž stávajících otopných těles ke zpětnému použití "</t>
  </si>
  <si>
    <t>Montáž otopných těles panelových jednořadých délky do 1500 mm</t>
  </si>
  <si>
    <t>" Zpětná montáž demontovaných otopných těles "</t>
  </si>
  <si>
    <t>těleso otopné panelové 1 deskové bez přídavné přestupní plochy v 900mm dl 900mm</t>
  </si>
  <si>
    <t>Vzduchotechnika</t>
  </si>
  <si>
    <t>Mtž potrubí plech skupiny I s přírubou tloušťky plechu 0,8 mm do 1,54 m2</t>
  </si>
  <si>
    <t>" Zpětná montáž stávajícího VZT potrubí v prodejně KVĚT LOTOSU, včetně zkrácení o 600mm "</t>
  </si>
  <si>
    <t>Demontáž potrubí plech skupiny I s přírubou nebo bez příruby tl. plechu 0,8 mm do průřezu 1,54 m2</t>
  </si>
  <si>
    <t>" Demontáž stávajícího VZT vedení v prodejně KVĚT LOTOSU pro zpětnou montáž "</t>
  </si>
  <si>
    <t>Konstrukce tesařské</t>
  </si>
  <si>
    <t>Demontáž vázaných kcí krovů z hranolů průřezové plochy do 288 cm2</t>
  </si>
  <si>
    <t>" Odhadované množství výměny krovu "</t>
  </si>
  <si>
    <t>hranol stavební řezivo průřezu do 224cm2 dl 6-8m</t>
  </si>
  <si>
    <t>Demontáž bednění střech z desek tvrdých</t>
  </si>
  <si>
    <t>" Demontáž heraklitu obj. Hrnčířská 3 " 3,2*5,8</t>
  </si>
  <si>
    <t>Demontáž laťování střech z latí osové vzdálenosti do 0,50 m</t>
  </si>
  <si>
    <t>7629901R</t>
  </si>
  <si>
    <t>D+M Pochozí dřevěná půdní lávka dl 30m - Specifikace dle PD</t>
  </si>
  <si>
    <t>" Dřevěný rošt z fošen 40/300mm a I-OSB nosníku výšky 300 + OSB deska pochozí tl. 20mm "</t>
  </si>
  <si>
    <t>" Včetně spojovacích prvků a veškerého příslušenství "</t>
  </si>
  <si>
    <t>Přesun hmot procentní pro kce tesařské v objektech v do 12 m</t>
  </si>
  <si>
    <t>999762R</t>
  </si>
  <si>
    <t>Stavební práce a dodávky spojené s provedením funkčního celku 762</t>
  </si>
  <si>
    <t>Konstrukce suché výstavby</t>
  </si>
  <si>
    <t>763112621R</t>
  </si>
  <si>
    <t>Montáž stávajícího deskového opláštění otopných těles a výloh</t>
  </si>
  <si>
    <t>" Zpětná montáž demontovaných stávajících okrytování otopných těles a výloh " 15*3,5</t>
  </si>
  <si>
    <t>763121811R</t>
  </si>
  <si>
    <t>Demontáž deskového opláštění dřevotřískové desky</t>
  </si>
  <si>
    <t>" Demontáž stávajícího deskového (dřevotříska) okrytování otopných těles a výloh " 15*3,5</t>
  </si>
  <si>
    <t>Demontáž SDK příčky s jednoduchou ocelovou nosnou konstrukcí opláštění dvojité</t>
  </si>
  <si>
    <t>" Demontáž SDK příček prodejna KNAPPE " 3,9*(3+2,9+2*0,8)</t>
  </si>
  <si>
    <t>Demontáž SDK předsazené/šachtové stěny s jednoduchou nosnou kcí opláštění dvojité</t>
  </si>
  <si>
    <t>" Odstranění SDK zástěny výkladce v prodejně KNAPPE " 1,7*1,4</t>
  </si>
  <si>
    <t>SDK podhled deska 1xA 15 bez TI dvouvrstvá dřevěná spodní kce</t>
  </si>
  <si>
    <t>" Doplnění podhledu prodejna KNAPPE, včetně napojení na stávající kci kazetového podhledu " 0,8*15</t>
  </si>
  <si>
    <t>SDK podhled deska 1xGKF 15 bez TI dvouvrstvá spodní kce profil CD+UD</t>
  </si>
  <si>
    <t>" Doplnění podhledu podkroví 50% " (11,7*(75+17,3+26,1))*0,5</t>
  </si>
  <si>
    <t>Demontáž SDK podhledu s jednovrstvou nosnou kcí z ocelových profilů opláštění dvojité</t>
  </si>
  <si>
    <t>" Demontáž stávajícího podhledu v objektu řeznictví " 1*15,6</t>
  </si>
  <si>
    <t>" Demontáž stávajícího podhledu v zádveří prodejny KVĚT LOTOSU " 1,8*3,5</t>
  </si>
  <si>
    <t>" Demontáž krytu VZT v prodejně KVĚT LOTOSU " 22,1*(1,1+1,1)</t>
  </si>
  <si>
    <t>Demontáž podhledu sádrokartonového kazetového na roštu viditelném</t>
  </si>
  <si>
    <t>" Demontáž jedné řady kazetového podhledu v prodejně KNAPPE " 0,8*15</t>
  </si>
  <si>
    <t>Přesun hmot procentní pro sádrokartonové konstrukce v objektech v do 12 m</t>
  </si>
  <si>
    <t>999763R</t>
  </si>
  <si>
    <t>Stavební práce a dodávky spojené s provedením funkčního celku 763</t>
  </si>
  <si>
    <t>Konstrukce klempířské</t>
  </si>
  <si>
    <t>76499901R</t>
  </si>
  <si>
    <t>D+M Poplastovaný plech FeZn s povrchovou úpravou - Specifikace dle výpisu klempířských výrobků - 1K</t>
  </si>
  <si>
    <t>" Poplastovaný plech FeZn 0,75mm s povrchovou úpravou š 200m dl 1650mm "</t>
  </si>
  <si>
    <t>" Včetně kotvících a spojovacích prvků a veškerého příslušenství "</t>
  </si>
  <si>
    <t>76499902R</t>
  </si>
  <si>
    <t>D+M Oplechování parapetu rš 700mm dl 2400mm - Specifikace dle výpisu klempířských výrobků - 2K</t>
  </si>
  <si>
    <t>" Lakovaný plech pozinkovaný tl 0,8mm "</t>
  </si>
  <si>
    <t>76499903R</t>
  </si>
  <si>
    <t>D+M Poplastovaný plech FeZn s povrchovou úpravou - Specifikace dle výpisu klempířských výrobků - 3K</t>
  </si>
  <si>
    <t>" Poplastovaný plech FeZn 0,75mm s povrchovou úpravou š 200m dl 1550mm "</t>
  </si>
  <si>
    <t>76499904R</t>
  </si>
  <si>
    <t>D+M Poplastovaný plech FeZn s povrchovou úpravou - Specifikace dle výpisu klempířských výrobků - 4K</t>
  </si>
  <si>
    <t>" Poplastovaný plech FeZn 0,75mm s povrchovou úpravou š 200m dl 1150mm "</t>
  </si>
  <si>
    <t>76499905R</t>
  </si>
  <si>
    <t>D+M Poplastovaný plech FeZn s povrchovou úpravou - Specifikace dle výpisu klempířských výrobků - 5K</t>
  </si>
  <si>
    <t>" Poplastovaný plech FeZn 0,75mm s povrchovou úpravou š 200m dl 2250mm "</t>
  </si>
  <si>
    <t>76499906R</t>
  </si>
  <si>
    <t>D+M Poplastovaný plech FeZn s povrchovou úpravou - Specifikace dle výpisu klempířských výrobků - 6K</t>
  </si>
  <si>
    <t>" Poplastovaný plech FeZn 0,75mm s povrchovou úpravou š 200m dl 1450mm "</t>
  </si>
  <si>
    <t>76499907R</t>
  </si>
  <si>
    <t>D+M Poplastovaný plech FeZn s povrchovou úpravou - Specifikace dle výpisu klempířských výrobků - 7K</t>
  </si>
  <si>
    <t>" Poplastovaný plech FeZn 0,75mm s povrchovou úpravou š 200m dl 1050mm "</t>
  </si>
  <si>
    <t>76499908R</t>
  </si>
  <si>
    <t>D+M Poplastovaný plech FeZn s povrchovou úpravou - Specifikace dle výpisu klempířských výrobků - 8K</t>
  </si>
  <si>
    <t>" Poplastovaný plech FeZn 0,75mm s povrchovou úpravou š 200m dl 1350mm "</t>
  </si>
  <si>
    <t>76499909R</t>
  </si>
  <si>
    <t>D+M Poplastovaný plech FeZn s povrchovou úpravou - Specifikace dle výpisu klempířských výrobků - 9K</t>
  </si>
  <si>
    <t>" Poplastovaný plech FeZn 0,75mm s povrchovou úpravou š 200m dl 750mm "</t>
  </si>
  <si>
    <t>76499910R</t>
  </si>
  <si>
    <t>D+M Oplechování parapetu rš 500mm dl 2250mm - Specifikace dle výpisu klempířských výrobků - 10K</t>
  </si>
  <si>
    <t>76499911R</t>
  </si>
  <si>
    <t>D+M Oplechování parapetu rš 500mm dl 1650mm - Specifikace dle výpisu klempířských výrobků - 11K</t>
  </si>
  <si>
    <t>76499912R</t>
  </si>
  <si>
    <t>D+M Oplechování parapetní římsy rš 300mm - Specifikace dle výpisu klempířských výrobků - 12K</t>
  </si>
  <si>
    <t>76499913R</t>
  </si>
  <si>
    <t>D+M Oplechování korunové římsy rš 900mm - Specifikace dle výpisu klempířských výrobků - 13K</t>
  </si>
  <si>
    <t>76499914R</t>
  </si>
  <si>
    <t>D+M Oplechování balkonové desky - Specifikace dle výpisu klempířských výrobků - 14K</t>
  </si>
  <si>
    <t>" AL 99,5 H24 "</t>
  </si>
  <si>
    <t>76499915R</t>
  </si>
  <si>
    <t>D+M Oplechování balkonové desky - Specifikace dle výpisu klempířských výrobků - 15K</t>
  </si>
  <si>
    <t>76499916R</t>
  </si>
  <si>
    <t>D+M Oplechování krakorce rš 800mm - Specifikace dle výpisu klempířských výrobků - 16K</t>
  </si>
  <si>
    <t>76499917R</t>
  </si>
  <si>
    <t>D+M Závětrná lišta rš 250mm dl 500mm - Specifikace dle výpisu klempířských výrobků - 17K</t>
  </si>
  <si>
    <t>76499918R</t>
  </si>
  <si>
    <t>D+M Oplechování balkonové desky rš 400mm - Specifikace dle výpisu klempířských výrobků - 18K</t>
  </si>
  <si>
    <t>76499919R</t>
  </si>
  <si>
    <t>D+M Okapový žlab půlkruhový DN 190 - Specifikace dle výpisu klempířských výrobků - 19K</t>
  </si>
  <si>
    <t>" Lakovaný plech pozinkovaný tl 0,6mm "</t>
  </si>
  <si>
    <t>76499920R</t>
  </si>
  <si>
    <t>D+M Okapový žlab půlkruhový DN 190 - Specifikace dle výpisu klempířských výrobků - 20K</t>
  </si>
  <si>
    <t>76499921R</t>
  </si>
  <si>
    <t>D+M Okapový žlab půlkruhový DN 125 - Specifikace dle výpisu klempířských výrobků - 21K</t>
  </si>
  <si>
    <t>76499922R</t>
  </si>
  <si>
    <t>D+M Žlabový kout půlkruhový DN 190 - Specifikace dle výpisu klempířských výrobků - 22K</t>
  </si>
  <si>
    <t>76499923R</t>
  </si>
  <si>
    <t>D+M Čelo půlkruhový žlab DN 190 - Specifikace dle výpisu klempířských výrobků - 23K</t>
  </si>
  <si>
    <t>76499924R</t>
  </si>
  <si>
    <t>D+M Čelo půlkruhový žlab DN 125 - Specifikace dle výpisu klempířských výrobků - 24K</t>
  </si>
  <si>
    <t>76499925R</t>
  </si>
  <si>
    <t>D+M Žlabový kotlík DN 190/120 - Specifikace dle výpisu klempířských výrobků - 25K</t>
  </si>
  <si>
    <t>76499926R</t>
  </si>
  <si>
    <t>D+M Žlabový kotlík DN 125/87 - Specifikace dle výpisu klempířských výrobků - 26K</t>
  </si>
  <si>
    <t>76499927R</t>
  </si>
  <si>
    <t>D+M Dešťový svod DN 120 - Specifikace dle výpisu klempířských výrobků - 27K</t>
  </si>
  <si>
    <t>76499928R</t>
  </si>
  <si>
    <t>D+M Koleno svodové roury 70° DN 120 - Specifikace dle výpisu klempířských výrobků - 28K</t>
  </si>
  <si>
    <t>76499929R</t>
  </si>
  <si>
    <t>D+M Dešťový svod DN 87 - Specifikace dle výpisu klempířských výrobků - 29K</t>
  </si>
  <si>
    <t>76499930R</t>
  </si>
  <si>
    <t>D+M Koleno svodové roury 70° DN 87 - Specifikace dle výpisu klempířských výrobků - 30K</t>
  </si>
  <si>
    <t>Demontáž svodu k dalšímu použití - Specifikace dle výpisu klempířských výrobků - 31K</t>
  </si>
  <si>
    <t>" Demontáž stávajícího svodu kruhového DN 125, včetně otrýskání, včetně kolen a včetně objímek "</t>
  </si>
  <si>
    <t>Montáž kruhového svodu - Specifikace dle výpisu klempířských výrobků - 31K</t>
  </si>
  <si>
    <t>" Montáž stávajícího svodu DN 250, včetně objímek a kotvících prvků "</t>
  </si>
  <si>
    <t>" Včetně kotvících prvků, veškerého příslušenství a příslušenství dle PD "</t>
  </si>
  <si>
    <t>76499932R</t>
  </si>
  <si>
    <t>D+M Svod z litiny DN 125 - Specifikace dle výpisu klempířských výrobků - 32K</t>
  </si>
  <si>
    <t>" Šedá litina "</t>
  </si>
  <si>
    <t>76499933R</t>
  </si>
  <si>
    <t>D+M Oplechování vikýře rš 100mm - Specifikace dle výpisu klempířských výrobků - 33K</t>
  </si>
  <si>
    <t>" Poplastovaný plech "</t>
  </si>
  <si>
    <t>76499934R</t>
  </si>
  <si>
    <t>D+M Oplechování atikové hrany rš 250mm - Specifikace dle výpisu klempířských výrobků - 34K</t>
  </si>
  <si>
    <t>76499935R</t>
  </si>
  <si>
    <t>D+M Okapnice z poplastovaného plechu rš 300mm - Specifikace dle výpisu klempířských výrobků - 35K</t>
  </si>
  <si>
    <t>76499936R</t>
  </si>
  <si>
    <t>D+M Velkoformátová krytina vikýře š 510mm dl 4000mm - Specifikace dle výpisu klempířských výrobků - 36K</t>
  </si>
  <si>
    <t>76499937R</t>
  </si>
  <si>
    <t>D+M Okapový plech rš 300mm - Specifikace dle výpisu klempířských výrobků - 37K</t>
  </si>
  <si>
    <t>76499938R</t>
  </si>
  <si>
    <t>D+M Závětrná lišta rš 350mm - Specifikace dle výpisu klempířských výrobků - 38K</t>
  </si>
  <si>
    <t>76499939R</t>
  </si>
  <si>
    <t>D+M Přechod mezi krytinami rš 700mm - Specifikace dle výpisu klempířských výrobků - 39K</t>
  </si>
  <si>
    <t>76499940R</t>
  </si>
  <si>
    <t>D+M Okapový plech rš 700mm - Specifikace dle výpisu klempířských výrobků - 40K</t>
  </si>
  <si>
    <t>76499941R</t>
  </si>
  <si>
    <t>D+M Lemování zdí rš 400mm - Specifikace dle výpisu klempířských výrobků - 41K</t>
  </si>
  <si>
    <t>76499942R</t>
  </si>
  <si>
    <t>D+M Oplechování atiky rš 1150mm - Specifikace dle výpisu klempířských výrobků - 42K</t>
  </si>
  <si>
    <t>76499943R</t>
  </si>
  <si>
    <t>D+M Oplechování úžlabí rš 350mm - Specifikace dle výpisu klempířských výrobků - 43K</t>
  </si>
  <si>
    <t>76499944R</t>
  </si>
  <si>
    <t>D+M Oplechování výškového zlomu v krytině rš 700mm - Specifikace dle výpisu klempířských výrobků - 44K</t>
  </si>
  <si>
    <t>76499945R</t>
  </si>
  <si>
    <t>D+M Oplechování římsy rš 900mm - Specifikace dle výpisu klempířských výrobků - 45K</t>
  </si>
  <si>
    <t>76499946R</t>
  </si>
  <si>
    <t>D+M Oplechování atiky rš 600mm - Specifikace dle výpisu klempířských výrobků - 46K</t>
  </si>
  <si>
    <t>76499947R</t>
  </si>
  <si>
    <t>D+M Oplechování štítové stěny lodžie rš 1200mm - Specifikace dle výpisu klempířských výrobků - 47K</t>
  </si>
  <si>
    <t>Přesun hmot procentní pro konstrukce klempířské v objektech v do 12 m</t>
  </si>
  <si>
    <t>999764R</t>
  </si>
  <si>
    <t>Stavební práce a dodávky spojené s provedením funkčního celku 764</t>
  </si>
  <si>
    <t>Konstrukce pokrývačské</t>
  </si>
  <si>
    <t>Demontáž střešního výlezu jakkékoliv plochy</t>
  </si>
  <si>
    <t>" Demontáž stávajícího střešního výlezu "</t>
  </si>
  <si>
    <t>Demontáž krytiny keramické hladké sklonu do 30° na sucho do suti</t>
  </si>
  <si>
    <t>76599901R</t>
  </si>
  <si>
    <t>D+M Systémová skladba STŘ5 - Specifikace dle PD</t>
  </si>
  <si>
    <t>" - maloformátová pálená střešní krytina (francouzská taška) 15ks/m2, se zesíleným středem a okrajem "</t>
  </si>
  <si>
    <t>" - dřevěné latě 60x40mm "</t>
  </si>
  <si>
    <t>Přesun hmot procentní pro krytiny skládané v objektech v do 12 m</t>
  </si>
  <si>
    <t>999765R</t>
  </si>
  <si>
    <t>Stavební práce a dodávky spojené s provedením funkčního celku 765</t>
  </si>
  <si>
    <t>Konstrukce truhlářské</t>
  </si>
  <si>
    <t>Demontáž parapetních desek dřevěných nebo plastových šířky do 30 cm délky přes 1,0 m</t>
  </si>
  <si>
    <t xml:space="preserve">" Demontáž stávajících sedáků na parapetech prodejny KVĚT LOTOSU " </t>
  </si>
  <si>
    <t>766622812R</t>
  </si>
  <si>
    <t>Demontáž rámu jednoduchých oken dřevěných nebo plastových</t>
  </si>
  <si>
    <t>" Demontáž okenních konstrukcí k opětovnému použití rámu jednoduchých dřevěných nebo plastových, včetně parapetu "</t>
  </si>
  <si>
    <t>" Demontáž stávajících plastových a dřevěných oken " 1*(1,5*1,8)+15*(1,5*1,8)+5*(1,5*0,9)+1*(2,1*0,9)+3*(0,9*0,9)+2*(1,4*1,8)+4*(1,5*1,2)</t>
  </si>
  <si>
    <t>Demontáž rámu zdvojených oken dřevěných nebo plastových</t>
  </si>
  <si>
    <t>" Demontáž okenních konstrukcí k opětovnému použití rámu zdvojených dřevěných nebo plastových, včetně parapetu "</t>
  </si>
  <si>
    <t>" Demontáž stávajících plastových a dřevěných oken " 11*(1,5*1,8)+141*(1,5*1,8)+32*(2,1*1,8)</t>
  </si>
  <si>
    <t>Vyvěšení křídel dřevěných nebo plastových okenních přes 1,5 m2</t>
  </si>
  <si>
    <t>" Demontáž stávajících okenních křídel " 11+1+141+32+15+5+1+3+2+4</t>
  </si>
  <si>
    <t>76662201R</t>
  </si>
  <si>
    <t>Demontáž dřevěných dveří včetně odsekání zárubní</t>
  </si>
  <si>
    <t>" Demontáž stávajících dveřních konstrukcí, včetně odsekání zárubní, demontáže prahu a demontáže dveřního křídla " 34*(1,3*2,5)+14*(0,7*2,5)+3*(0,6*2,5+1,3*1,8)</t>
  </si>
  <si>
    <t>76662202R</t>
  </si>
  <si>
    <t>Demontáž výkladců dřevěných</t>
  </si>
  <si>
    <t>" Demontáž stávajících výkladců dřevěných " 1*(3,2*3,5)</t>
  </si>
  <si>
    <t>Demontáž střešního okna hladká krytina do 45°</t>
  </si>
  <si>
    <t>" Demontáž střešních oken  na krytině hladké a drážkové, sklonu přes 30 do 45° "</t>
  </si>
  <si>
    <t>" Demontáž stávajících střešních oken " 100+1</t>
  </si>
  <si>
    <t>76699901R</t>
  </si>
  <si>
    <t>D+M Plastové okno 1480x1780mm, U=1,0 W/m2K - Specifikace dle výpisu prvků - O1</t>
  </si>
  <si>
    <t>" Okenní sestava okna otevíravé a vyklápěcí z PVC "</t>
  </si>
  <si>
    <t>" Včetně veškerých systémových prvků a příslušenství dle PD "</t>
  </si>
  <si>
    <t>76699902R</t>
  </si>
  <si>
    <t>D+M Plastové okno 1400x1780mm, U=1,0 W/m2K - Specifikace dle výpisu prvků - O2</t>
  </si>
  <si>
    <t>76699903R</t>
  </si>
  <si>
    <t>D+M Plastové okno 1000x1600mm, U=1,0 W/m2K - Specifikace dle výpisu prvků - O3</t>
  </si>
  <si>
    <t>76699904R</t>
  </si>
  <si>
    <t>D+M Plastové okno 1480x1780mm, U=1,0 W/m2K - Specifikace dle výpisu prvků - O4</t>
  </si>
  <si>
    <t>76699905R</t>
  </si>
  <si>
    <t>D+M Plastové okno 2060x1780mm, U=1,0 W/m2K - Specifikace dle výpisu prvků - O5</t>
  </si>
  <si>
    <t>76699906R</t>
  </si>
  <si>
    <t>D+M Plastové okno 1480x1780mm, U=1,0 W/m2K - Specifikace dle výpisu prvků - O6</t>
  </si>
  <si>
    <t>76699907R</t>
  </si>
  <si>
    <t>D+M Balkonové dveře 1300x2500mm, U=1,0 W/m2K - Specifikace dle výpisu prvků - O7</t>
  </si>
  <si>
    <t>" Dvoukřídlové dveře otevíravé a vyklápěcí z PVC "</t>
  </si>
  <si>
    <t>76699908R</t>
  </si>
  <si>
    <t>D+M Balkonové dveře 2060x2590mm, U=1,0 W/m2K - Specifikace dle výpisu prvků - O8</t>
  </si>
  <si>
    <t>" Sestava, dveře otevíravé a vyklápěcí z PVC "</t>
  </si>
  <si>
    <t>76699909R</t>
  </si>
  <si>
    <t>D+M Balkonové dveře 2080x2590mm, U=1,0 W/m2K - Specifikace dle výpisu prvků - O9</t>
  </si>
  <si>
    <t>76699910R</t>
  </si>
  <si>
    <t>D+M Plastové okno 1480x880mm, U=1,0 W/m2K - Specifikace dle výpisu prvků - O10</t>
  </si>
  <si>
    <t>76699911R</t>
  </si>
  <si>
    <t>76699912R</t>
  </si>
  <si>
    <t>D+M Plastové okno 2060x880mm, U=1,0 W/m2K - Specifikace dle výpisu prvků - O12</t>
  </si>
  <si>
    <t>76699915R</t>
  </si>
  <si>
    <t>D+M Plastové okno 560x550mm, U=1,2 W/m2K - Specifikace dle výpisu prvků - O15</t>
  </si>
  <si>
    <t>76699916R</t>
  </si>
  <si>
    <t>D+M Plastové okno 1500x400mm, U=1,2 W/m2K - Specifikace dle výpisu prvků - O16</t>
  </si>
  <si>
    <t>76699917R</t>
  </si>
  <si>
    <t>D+M Střešní okno 780x1400mm, U=1,0 W/m2K - Specifikace dle výpisu prvků - O17</t>
  </si>
  <si>
    <t>" Celodřevěné kyvné střešní okno "</t>
  </si>
  <si>
    <t>76699918R</t>
  </si>
  <si>
    <t>D+M Střešní okno 660x980mm, U=1,0 W/m2K - Specifikace dle výpisu prvků - O18</t>
  </si>
  <si>
    <t>76699919R</t>
  </si>
  <si>
    <t>D+M Střešní výlez 660x1180mm, U=1,0 W/m2K - Specifikace dle výpisu prvků - O19</t>
  </si>
  <si>
    <t>" Celodřevěný otevíravý s bočním ovládáním "</t>
  </si>
  <si>
    <t>76699920R</t>
  </si>
  <si>
    <t>D+M Dveře kazetové zateplené EI30 DP3-C 900x1970mm, U=1,7 W/m2K - Specifikace dle výpisu prvků - O20</t>
  </si>
  <si>
    <t>" Dřevěné dveře kazetové plné požárně odolné "</t>
  </si>
  <si>
    <t>76699925R</t>
  </si>
  <si>
    <t>" Dvoukřídlové, kazetové, plné z PVC "</t>
  </si>
  <si>
    <t>76699926R</t>
  </si>
  <si>
    <t>76699927R</t>
  </si>
  <si>
    <t>" Kazetové, plné z PVC "</t>
  </si>
  <si>
    <t>76699928R</t>
  </si>
  <si>
    <t>D+M Vnitřní dveře DTD/laminát 700x1970mm - Specifikace dle výpisu prvků - O28</t>
  </si>
  <si>
    <t>" Jednokřídlové plné, konstrukce dutinková dřevotříska, povrch vysokotlaký laminát "</t>
  </si>
  <si>
    <t>76699931R</t>
  </si>
  <si>
    <t>D+M Hliníkový výkladec 2870x3370mm, U=1,2 W/m2K - Specifikace dle výpisu prvků - O31</t>
  </si>
  <si>
    <t>" Výkladec se sklopným nadsvětlíkem. Hliníkový profil s přerušeným tepelným mostem, tříkomorový, vložen podkladní profil pro vložení oplechování parapetu. Výkladec bezpečnostní prosklení proti vandalismu, trosjklo, plněno argonem. Nadsvětlík bezpečnostní prosklení proti vandalismu, trosjklo, plněno argonem. Včetně kování.</t>
  </si>
  <si>
    <t>76699932R</t>
  </si>
  <si>
    <t>D+M Hliníkový výkladec 3040x3370mm, U=1,2 W/m2K - Specifikace dle výpisu prvků - O32</t>
  </si>
  <si>
    <t>76699933R</t>
  </si>
  <si>
    <t>D+M Hliníkový výkladec 3040x2970mm, U=1,2 W/m2K - Specifikace dle výpisu prvků - O33</t>
  </si>
  <si>
    <t>76699934R</t>
  </si>
  <si>
    <t>D+M Hliníkový výkladec 2650x2970mm, U=1,2 W/m2K - Specifikace dle výpisu prvků - O34</t>
  </si>
  <si>
    <t>76699935R</t>
  </si>
  <si>
    <t>D+M Hliníkový výkladec 2650x3200mm, U=1,2 W/m2K - Specifikace dle výpisu prvků - O35</t>
  </si>
  <si>
    <t>76699936R</t>
  </si>
  <si>
    <t>D+M Hliníkový výkladec 3090x3520mm, U=1,2 W/m2K - Specifikace dle výpisu prvků - O36</t>
  </si>
  <si>
    <t>76699937R</t>
  </si>
  <si>
    <t>D+M Hliníkový výkladec 3020x3520mm, U=1,2 W/m2K - Specifikace dle výpisu prvků - O37</t>
  </si>
  <si>
    <t>76699938R</t>
  </si>
  <si>
    <t>D+M Hliníkový výkladec 2890x3520mm, U=1,2 W/m2K - Specifikace dle výpisu prvků - O38</t>
  </si>
  <si>
    <t>76699939R</t>
  </si>
  <si>
    <t>D+M Hliníkový výkladec 3110x3170mm, U=1,2 W/m2K - Specifikace dle výpisu prvků - O39</t>
  </si>
  <si>
    <t>76699940R</t>
  </si>
  <si>
    <t>D+M Hliníkový výkladec 3040x3170mm, U=1,2 W/m2K - Specifikace dle výpisu prvků - O40</t>
  </si>
  <si>
    <t>76699941R</t>
  </si>
  <si>
    <t>D+M Hliníkový výkladec 2880x3170mm, U=1,2 W/m2K - Specifikace dle výpisu prvků - O41</t>
  </si>
  <si>
    <t>76699942R</t>
  </si>
  <si>
    <t>D+M Hliníkový výkladec 3070x3170mm, U=1,2 W/m2K - Specifikace dle výpisu prvků - O42</t>
  </si>
  <si>
    <t>76699943R</t>
  </si>
  <si>
    <t>D+M Hliníkový výkladec 2930x3170mm, U=1,2 W/m2K - Specifikace dle výpisu prvků - O43</t>
  </si>
  <si>
    <t>76699944R</t>
  </si>
  <si>
    <t>D+M Hliníkový výkladec 2850x3170mm, U=1,2 W/m2K - Specifikace dle výpisu prvků - O44</t>
  </si>
  <si>
    <t>76699951R</t>
  </si>
  <si>
    <t>D+M Vnitřní parapet dl 1580mm - Specifikace dle výpisu truhlářských výrobků - T1</t>
  </si>
  <si>
    <t>" Dřevotřískový parapet s povrchovou úpravou laminování "</t>
  </si>
  <si>
    <t>" Včetně veškerých kotvících a systémových prvků a příslušenství dle PD "</t>
  </si>
  <si>
    <t>76699952R</t>
  </si>
  <si>
    <t>D+M Vnitřní parapet dl 1100mm - Specifikace dle výpisu truhlářských výrobků - T2</t>
  </si>
  <si>
    <t>76699953R</t>
  </si>
  <si>
    <t>D+M Vnitřní parapet dl 2160mm - Specifikace dle výpisu truhlářských výrobků - T3</t>
  </si>
  <si>
    <t>76699954R</t>
  </si>
  <si>
    <t>D+M Vnitřní parapet dl 1340mm - Specifikace dle výpisu truhlářských výrobků - T4</t>
  </si>
  <si>
    <t>76699955R</t>
  </si>
  <si>
    <t>D+M Vnitřní parapet dl 1000mm - Specifikace dle výpisu truhlářských výrobků - T5</t>
  </si>
  <si>
    <t>76699956R</t>
  </si>
  <si>
    <t>D+M Dubový prah balkonových dveří dl 1480mm - Specifikace dle výpisu truhlářských výrobků - T6</t>
  </si>
  <si>
    <t>" Masivní dřevěný prah z jednoho kusu dřeva "</t>
  </si>
  <si>
    <t>76699957R</t>
  </si>
  <si>
    <t>D+M Dubový prah balkonových dveří dl 2060mm - Specifikace dle výpisu truhlářských výrobků - T7</t>
  </si>
  <si>
    <t>76699958R</t>
  </si>
  <si>
    <t>D+M Dubový prah balkonových dveří dl 800mm - Specifikace dle výpisu truhlářských výrobků - T8</t>
  </si>
  <si>
    <t>76699959R</t>
  </si>
  <si>
    <t>D+M Vnitřní parapet dl 2100mm - Specifikace dle výpisu truhlářských výrobků - T9</t>
  </si>
  <si>
    <t>76699960R</t>
  </si>
  <si>
    <t>D+M Vnitřní parapet dl 3040mm - Specifikace dle výpisu truhlářských výrobků - T10</t>
  </si>
  <si>
    <t>76699961R</t>
  </si>
  <si>
    <t>D+M Vnitřní parapet dl 1900mm - Specifikace dle výpisu truhlářských výrobků - T11</t>
  </si>
  <si>
    <t>76699962R</t>
  </si>
  <si>
    <t>D+M Vnitřní parapet dl 2650mm - Specifikace dle výpisu truhlářských výrobků - T12</t>
  </si>
  <si>
    <t>76699964R</t>
  </si>
  <si>
    <t>D+M Vnitřní parapet dl 3040mm - Specifikace dle výpisu truhlářských výrobků - T14</t>
  </si>
  <si>
    <t>76699965R</t>
  </si>
  <si>
    <t>D+M Vnitřní parapet dl 2880mm - Specifikace dle výpisu truhlářských výrobků - T15</t>
  </si>
  <si>
    <t>76699967R</t>
  </si>
  <si>
    <t>D+M Vnitřní parapet dl 1600mm - Specifikace dle výpisu truhlářských výrobků - T17</t>
  </si>
  <si>
    <t>76699968R</t>
  </si>
  <si>
    <t>D+M Vnitřní parapet dl 1280mm - Specifikace dle výpisu truhlářských výrobků - T18</t>
  </si>
  <si>
    <t>76699969R</t>
  </si>
  <si>
    <t>D+M Vnitřní parapet dl 2850mm - Specifikace dle výpisu truhlářských výrobků - T19</t>
  </si>
  <si>
    <t>76699970R</t>
  </si>
  <si>
    <t>Provedení volutové konzoly - Specifikace dle PD</t>
  </si>
  <si>
    <t>" Šablona z dvojice překližky pro sevření prostoru konzoly, výplň minerální vatou "</t>
  </si>
  <si>
    <t>Přesun hmot procentní pro konstrukce truhlářské v objektech v do 12 m</t>
  </si>
  <si>
    <t>999766R</t>
  </si>
  <si>
    <t>Stavební práce a dodávky spojené s provedením funkčního celku 766</t>
  </si>
  <si>
    <t>Kontrukce zámečnické</t>
  </si>
  <si>
    <t>Demontáž zábradlí rovného rozebíratelného hmotnosti 1m zábradlí přes 20 kg</t>
  </si>
  <si>
    <t>" Demontáž stávajícího balkonového zábradlí " 25*3,6+6*4,2</t>
  </si>
  <si>
    <t>Demontáž oken se zasklením</t>
  </si>
  <si>
    <t>" Demontáž oken se zasklením, včetně parapetu " 11*(1,2*0,6)+3*(0,6*0,6)+1*(0,4*1,5)</t>
  </si>
  <si>
    <t>Demontáž zárubní dveří odřezáním</t>
  </si>
  <si>
    <t>" Demontáž dveřních zárubní  odřezáním od upevnění " 1*(0,9*2)+1*(1,6*2,1)+1*(1,6*2,2)+1*(0,9*2,1)</t>
  </si>
  <si>
    <t>Vyvěšení nebo zavěšení kovových křídel oken přes 1,5 m2</t>
  </si>
  <si>
    <t>" Ostatní práce - vyvěšení nebo zavěšení kovových křídel s případným uložením a opětovným zavěšením po provedení stavebních změn oken, plochy přes 1,50 m2 " 11+3+1</t>
  </si>
  <si>
    <t>Vyvěšení nebo zavěšení kovových křídel dveří přes 2 m2</t>
  </si>
  <si>
    <t>" Vyvěšení nebo zavěšení kovových křídel – ostatní práce s případným uložením a opětovným zavěšením po provedení stavebních změn dveří, plochy přes 2 m2 " 1+1+1+1</t>
  </si>
  <si>
    <t>Demontáž výkladců zapuštěných svařovaných</t>
  </si>
  <si>
    <t>" Demontáž výkladců zapuštěných  svařovaných " 1*(3,4*2,9)+1*(3,1*3,4)+4*(3,1*3)+2*(2,7*3)+2*(2,7*3,2)+1*(3,1*3,5)+1*(2,9*3,5)+3*(3,1*3,2)+5*(3,1*3,2)+2*(3,2*2,9)+1*(3,2*3,1)+1*(3,2*3,2)+1*(3,2*2,9)</t>
  </si>
  <si>
    <t>76799902R</t>
  </si>
  <si>
    <t>D+M Prodloužení balkonové desky 0,75x2,40m - Specifikace dle výpisu zámečických výrobků - Z2</t>
  </si>
  <si>
    <t>" Celková váha oceli 130,3kg "</t>
  </si>
  <si>
    <t>76799903R</t>
  </si>
  <si>
    <t>D+M Prodloužení krakorce 0,30x2,10m - Specifikace dle výpisu zámečických výrobků - Z3</t>
  </si>
  <si>
    <t>" Celková váha oceli 110,8kg "</t>
  </si>
  <si>
    <t>76799904R</t>
  </si>
  <si>
    <t>D+M Prodloužení balkonové desky 0,75x2,10m - Specifikace dle výpisu zámečických výrobků - Z4</t>
  </si>
  <si>
    <t>" Celková váha oceli 119,7kg "</t>
  </si>
  <si>
    <t>76799905R</t>
  </si>
  <si>
    <t>Dmt+D+M Prodloužení balkonové desky 0,75x2,70m - Specifikace dle výpisu zámečických výrobků - Z5</t>
  </si>
  <si>
    <t>" Celková váha oceli 140,9kg "</t>
  </si>
  <si>
    <t>76799906R</t>
  </si>
  <si>
    <t>Dmt+D+M Úprava zábradlí 0,75x2,35m - Specifikace dle výpisu zámečických výrobků - Z6</t>
  </si>
  <si>
    <t>" Odřezání, očištění, navaření kotvících desek, žárové pozinkování a opatření komaxitovou barvou "</t>
  </si>
  <si>
    <t>76799907R</t>
  </si>
  <si>
    <t>Dmt+D+M Úprava zábradlí 0,75x1,65m - Specifikace dle výpisu zámečických výrobků - Z7</t>
  </si>
  <si>
    <t>76799908R</t>
  </si>
  <si>
    <t>D+M Zábradlí krakorec 0,43x2,10m - Specifikace dle výpisu zámečických výrobků - Z8</t>
  </si>
  <si>
    <t>" Celková váha oceli 108,1kg "</t>
  </si>
  <si>
    <t>76799909R</t>
  </si>
  <si>
    <t>D+M Zábradlí balkon 0,79x2,10m - Specifikace dle výpisu zámečických výrobků - Z9</t>
  </si>
  <si>
    <t>" Celková váha oceli 66,7kg "</t>
  </si>
  <si>
    <t>76799910R</t>
  </si>
  <si>
    <t>D+M Zábradlí balkon 0,79x2,90m - Specifikace dle výpisu zámečických výrobků - Z10</t>
  </si>
  <si>
    <t>" Celková váha oceli 75,8kg "</t>
  </si>
  <si>
    <t>Obroušení a očištění stávajícího zábradlí v 1m dl 19,9m - Specifikace dle výpisu zámečnických výrobků - Z11</t>
  </si>
  <si>
    <t>" Obroušení a očištění stávajícího zábradlí, proveden 1x základní nátěr a 2x vrchní nátěr "</t>
  </si>
  <si>
    <t>76799912R</t>
  </si>
  <si>
    <t>D+M Překlad nad dveře - Specifikace dle výpisu zámečických výrobků - Z12</t>
  </si>
  <si>
    <t>" Celková váha oceli 72,1kg "</t>
  </si>
  <si>
    <t>76799913R</t>
  </si>
  <si>
    <t>D+M Uzamykatelná mříž 1670x2150mm - Specifikace dle výpisu zámečických výrobků - Z13</t>
  </si>
  <si>
    <t>" Celková váha oceli 129,3g "</t>
  </si>
  <si>
    <t>76799914R</t>
  </si>
  <si>
    <t>D+M Uzamykatelná mříž 1670x2300mm - Specifikace dle výpisu zámečických výrobků - Z14</t>
  </si>
  <si>
    <t>" Celková váha oceli 129,5g "</t>
  </si>
  <si>
    <t>76799915R</t>
  </si>
  <si>
    <t>D+M Prodloužení konzoly - Specifikace dle výpisu zámečických výrobků - Z15</t>
  </si>
  <si>
    <t>" Celková váha oceli 36,8g "</t>
  </si>
  <si>
    <t>76799916R</t>
  </si>
  <si>
    <t>D+M Ocelový žebřík dl 4m - Specifikace dle výpisu zámečických výrobků - Z16</t>
  </si>
  <si>
    <t>" Povrchová úprava žárové pozinkování, opatřeno komaxitovou barvou "</t>
  </si>
  <si>
    <t>76799917R</t>
  </si>
  <si>
    <t>D+M Větrací mřížka spižní 80x240mm - Specifikace dle výpisu zámečických výrobků - Z17</t>
  </si>
  <si>
    <t>" Nerezová větrací mřížka, zadní strana opatřena síťovinou proti hmyzu, včetně nástavce pod zateplení "</t>
  </si>
  <si>
    <t>76799918R</t>
  </si>
  <si>
    <t>D+M Větrací mřížka spižní 80x240mm - Specifikace dle výpisu zámečických výrobků - Z18</t>
  </si>
  <si>
    <t>76799919R</t>
  </si>
  <si>
    <t>D+M Větrací mřížka spižní 200x200mm - Specifikace dle výpisu zámečických výrobků - Z19</t>
  </si>
  <si>
    <t>76799920R</t>
  </si>
  <si>
    <t>D+M Větrací mřížka spižní 200x200mm - Specifikace dle výpisu zámečických výrobků - Z20</t>
  </si>
  <si>
    <t>76799921R</t>
  </si>
  <si>
    <t>D+M Větrací mřížka spižní 200x200mm - Specifikace dle výpisu zámečických výrobků - Z21</t>
  </si>
  <si>
    <t>" Nerezová větrací mřížka, zadní strana opatřena síťovinou proti hmyzu "</t>
  </si>
  <si>
    <t>76799922R</t>
  </si>
  <si>
    <t>D+M Větrací mřížka spižní 300x450mm - Specifikace dle výpisu zámečických výrobků - Z22</t>
  </si>
  <si>
    <t>76799923R</t>
  </si>
  <si>
    <t>D+M Větrací mřížka spižní 300x450mm - Specifikace dle výpisu zámečických výrobků - Z23</t>
  </si>
  <si>
    <t>76799924R</t>
  </si>
  <si>
    <t>D+M Větrací mřížka spižní 360x200mm - Specifikace dle výpisu zámečických výrobků - Z24</t>
  </si>
  <si>
    <t>76799925R</t>
  </si>
  <si>
    <t>D+M Madlo lodžie - Specifikace dle výpisu zámečických výrobků – Z21 (Z25)</t>
  </si>
  <si>
    <t xml:space="preserve">„ Stávající madlo lodžie d 40mm dl 2,70m „ </t>
  </si>
  <si>
    <t>„ Obroušení a natření – základní a 2x vrchní nátěr „</t>
  </si>
  <si>
    <t>Přesun hmot procentní pro zámečnické konstrukce v objektech v do 12 m</t>
  </si>
  <si>
    <t>999767R</t>
  </si>
  <si>
    <t>Stavební práce a dodávky spojené s provedením funkčního celku 767</t>
  </si>
  <si>
    <t>Podlahy z dlaždic</t>
  </si>
  <si>
    <t>Demontáž podlah z dlaždic keramických kladených do malty</t>
  </si>
  <si>
    <t>" Vybourání nášlapných vrstev u vstupního schodiště prodejny KVĚT LOTOSU " 1,8*3,5</t>
  </si>
  <si>
    <t>" Vybourání nášlapných vrstev u vstupního schodiště prodejny KNAPPE " 1,5*4</t>
  </si>
  <si>
    <t>" Vybourání nášlapných vrstev balkonů " (0,75*2,1)*25+(0,75*2,7)*6+2,4*0,75+(3,7*1,2)*3+(3,1*0,75)*4</t>
  </si>
  <si>
    <t>Nátěr penetrační na podlahu</t>
  </si>
  <si>
    <t>" Penetrace před provedením podlah balkonových desek " (0,75*2,1)*25+(0,75*2,7)*6+2,4*0,75+(3,7*1,2)*3+(3,1*0,75)*4</t>
  </si>
  <si>
    <t>77199901R</t>
  </si>
  <si>
    <t>D+M Typová konstrukce podlahy balkonových desek - Specifikace dle výpisu skladeb konstrukcí</t>
  </si>
  <si>
    <t>" - nášlapná vrstva keramická dlažba mrazuvzdorná, protiskluzná – tl. 15mm "</t>
  </si>
  <si>
    <t xml:space="preserve"> " - maltové lože cementová malta - tl. 25mm "</t>
  </si>
  <si>
    <t>" - betonová mazanina ve spádu - tl. 50mm "</t>
  </si>
  <si>
    <t>" - asfaltová lepenka "</t>
  </si>
  <si>
    <t>" Nová skladba podlah balkonových desek " (0,75*2,1)*25+(0,75*2,7)*6+2,4*0,75+(3,7*1,2)*3+(3,1*0,75)*4</t>
  </si>
  <si>
    <t>" Cena včetně veškerých systémových prvků a příslušenství, včetně provedení detailů "</t>
  </si>
  <si>
    <t>Přesun hmot procentní pro podlahy z dlaždic v objektech v do 12 m</t>
  </si>
  <si>
    <t>999771R</t>
  </si>
  <si>
    <t>Stavební práce a dodávky spojené s provedením funkčního celku 771</t>
  </si>
  <si>
    <t>Podlahy z kamene</t>
  </si>
  <si>
    <t>Montáž obkladu stupňů deskami lepenými z kamene tvrdého tl do 120 mm</t>
  </si>
  <si>
    <t>" Vstup prodejna zdravé výživy " (0,45*3)*2</t>
  </si>
  <si>
    <t>" Vstup pekárna " (0,48*3)*2</t>
  </si>
  <si>
    <t>obklad leštěná žula tl 50mm</t>
  </si>
  <si>
    <t>Přesun hmot procentní pro podlahy z kamene v objektech v do 12 m</t>
  </si>
  <si>
    <t>999772R</t>
  </si>
  <si>
    <t>Stavební práce a dodávky spojené s provedením funkčního celku 772</t>
  </si>
  <si>
    <t>Obklady keramické</t>
  </si>
  <si>
    <t>Demontáž obkladů z obkladaček keramických lepených</t>
  </si>
  <si>
    <t>" Osekání obkladu v prodejně řeznictví " 2,15*(5,3+0,6+1,5+1,5+1,8+0,8)</t>
  </si>
  <si>
    <t>" Osekání obkladu v prodejně KNAPPE " 1,8*(20,7+10,7-8,8)</t>
  </si>
  <si>
    <t>Přesun hmot procentní pro obklady keramické v objektech v do 12 m</t>
  </si>
  <si>
    <t>Nátěry</t>
  </si>
  <si>
    <t>783113101R</t>
  </si>
  <si>
    <t>Fungicidní postřik tesařských konstrukcí</t>
  </si>
  <si>
    <t>Penetrační akrylátový nátěr omítek stupně členitosti 5</t>
  </si>
  <si>
    <t>" Penetrace Hrnčířská 3 - 4NP-6NP " ((19,7+5,4)*8,7)-15*2,7</t>
  </si>
  <si>
    <t>" Penetrace obvodová stěna půdních vestaveb Hrnčířská 5, 7, 11 " 0,8*(17,3+75)</t>
  </si>
  <si>
    <t>" Penetrace vnitřní stěny lodžie " 3*(6,2*3)</t>
  </si>
  <si>
    <t>" Penetrace podchod Hrnčířská 3 " 16,3*5,9+3,4*21,8</t>
  </si>
  <si>
    <t>Hydrofobizační transparentní silikonový nátěr omítek stupně členitosti 5</t>
  </si>
  <si>
    <t>Krycí jednonásobný akrylátový nátěr omítek stupně členitosti 5</t>
  </si>
  <si>
    <t>" 2x provedení nátěru podchodu objektu ul. Hrnčířská 3 - strop " 2*(16,3*5,9)</t>
  </si>
  <si>
    <t>" 2x provedení nátěru podchodu objektu ul. Hrnčířská 3 - stěny + pilíře " 2*(3,4*21,8)</t>
  </si>
  <si>
    <t>Malby</t>
  </si>
  <si>
    <t>Jednonásobné bílé malby ze směsí za mokra výborně otěruvzdorných v místnostech výšky do 3,80 m</t>
  </si>
  <si>
    <t>" Vymalování po výměně výplní otvorů "</t>
  </si>
  <si>
    <t>Čalounické úpravy</t>
  </si>
  <si>
    <t>78699901R</t>
  </si>
  <si>
    <t>D+M Vnitřní žaluzie 600x1500mm - Specifikace dle výpisu prvků stínící techniky - S1</t>
  </si>
  <si>
    <t>" Vnitřní horizontální žaluzie, kotveno do rámu okna, boční vedení pomocí lanka "</t>
  </si>
  <si>
    <t>78699902R</t>
  </si>
  <si>
    <t>D+M Vnitřní žaluzie 550x1500mm - Specifikace dle výpisu prvků stínící techniky - S2</t>
  </si>
  <si>
    <t>78699903R</t>
  </si>
  <si>
    <t>D+M Vnitřní žaluzie 500x1600mm - Specifikace dle výpisu prvků stínící techniky - S3</t>
  </si>
  <si>
    <t>78699904R</t>
  </si>
  <si>
    <t>D+M Vnitřní žaluzie 500x600mm - Specifikace dle výpisu prvků stínící techniky - S4</t>
  </si>
  <si>
    <t>78699905R</t>
  </si>
  <si>
    <t>D+M Vnitřní žaluzie 500x1700mm - Specifikace dle výpisu prvků stínící techniky - S5</t>
  </si>
  <si>
    <t>78699906R</t>
  </si>
  <si>
    <t>D+M Vnitřní žaluzie 550x600mm - Specifikace dle výpisu prvků stínící techniky - S6</t>
  </si>
  <si>
    <t>78699907R</t>
  </si>
  <si>
    <t>D+M Vnitřní žaluzie 600x1600mm - Specifikace dle výpisu prvků stínící techniky - S7</t>
  </si>
  <si>
    <t>78699908R</t>
  </si>
  <si>
    <t>D+M Vnitřní žaluzie 600x600mm - Specifikace dle výpisu prvků stínící techniky - S8</t>
  </si>
  <si>
    <t>78699909R</t>
  </si>
  <si>
    <t>D+M Vnitřní žaluzie 500x1550mm - Specifikace dle výpisu prvků stínící techniky - S9</t>
  </si>
  <si>
    <t>78699910R</t>
  </si>
  <si>
    <t>D+M Vnitřní žaluzie 500x650mm - Specifikace dle výpisu prvků stínící techniky - S10</t>
  </si>
  <si>
    <t>78699911R</t>
  </si>
  <si>
    <t>D+M Vnitřní žaluzie 500x1500mm - Specifikace dle výpisu prvků stínící techniky - S11</t>
  </si>
  <si>
    <t>78699912R</t>
  </si>
  <si>
    <t>D+M Vnitřní žaluzie 600x1000mm - Specifikace dle výpisu prvků stínící techniky - S12</t>
  </si>
  <si>
    <t>78699913R</t>
  </si>
  <si>
    <t>D+M Markýza roletová dl 2850mm - Specifikace dle výpisu prvků stínící techniky - S13</t>
  </si>
  <si>
    <t>" Mechanická markýza bezkazetová roletová v délce 2850mm, vyložení 2250mm "</t>
  </si>
  <si>
    <t>78699914R</t>
  </si>
  <si>
    <t>D+M Markýza roletová dl 3040mm - Specifikace dle výpisu prvků stínící techniky - S14</t>
  </si>
  <si>
    <t>" Mechanická markýza bezkazetová roletová v délce 3040mm, vyložení 2250mm "</t>
  </si>
  <si>
    <t>78699915R</t>
  </si>
  <si>
    <t>D+M Markýza roletová dl 3070mm - Specifikace dle výpisu prvků stínící techniky - S15</t>
  </si>
  <si>
    <t>" Mechanická markýza bezkazetová roletová v délce 3070mm, vyložení 2250mm "</t>
  </si>
  <si>
    <t>78699916R</t>
  </si>
  <si>
    <t>D+M Markýza roletová dl 3170mm - Specifikace dle výpisu prvků stínící techniky - S16</t>
  </si>
  <si>
    <t>" Mechanická markýza bezkazetová roletová v délce 3170mm, vyložení 2250mm "</t>
  </si>
  <si>
    <t>78699917R</t>
  </si>
  <si>
    <t>D+M Vnitřní vertikální žaluzie 6050x3900mm  - Specifikace dle výpisu prvků stínící techniky - S17</t>
  </si>
  <si>
    <t>" Vnitřní vertikální žaluzie 6050x3900mm, kotveno do stropu "</t>
  </si>
  <si>
    <t>Přesun hmot procentní pro čalounické úpravy v objektech v do 12 m</t>
  </si>
  <si>
    <t>999786R</t>
  </si>
  <si>
    <t>Stavební práce a dodávky spojené s provedením funkčního celku 786</t>
  </si>
  <si>
    <t>790</t>
  </si>
  <si>
    <t>79099901R</t>
  </si>
  <si>
    <t>D+M Šambány kolem oken - Specifikace dle Výpis ostatních prvků - 1</t>
  </si>
  <si>
    <t>" Nalepení ozdobného dekorativního profilu "</t>
  </si>
  <si>
    <t>79099902R</t>
  </si>
  <si>
    <t>D+M Profily pro tvorbu nuty - Specifikace dle Výpis ostatních prvků - 2</t>
  </si>
  <si>
    <t>" Plošné prvky, vnitřní a vnější pro tvorbu bosáží "</t>
  </si>
  <si>
    <t>79099903R</t>
  </si>
  <si>
    <t>D+M Dilatační profil zateplení - Specifikace dle Výpis ostatních prvků - 3</t>
  </si>
  <si>
    <t>" Rovný profil 38m, rohový profil 36m "</t>
  </si>
  <si>
    <t>79099904R</t>
  </si>
  <si>
    <t>D+M Dilatační profil nerez - Specifikace dle Výpis ostatních prvků - 4</t>
  </si>
  <si>
    <t>" Krytí dilatace nezateplené omítky "</t>
  </si>
  <si>
    <t>79099905R</t>
  </si>
  <si>
    <t>Dmt+M VZT jednotka - Specifikace dle Výpis ostatních prvků - 5</t>
  </si>
  <si>
    <t>" Včetně dvou nových konzol pro zavěšení "</t>
  </si>
  <si>
    <t>" Včetně kotvících prvků, veškerého příslušenství a příslušenství dle PD. Včetně začištění míst po demontáži. "</t>
  </si>
  <si>
    <t>79099906R</t>
  </si>
  <si>
    <t>Dmt+M El. Ovládaná žaluziová klapka - Specifikace dle Výpis ostatních prvků - 6</t>
  </si>
  <si>
    <t>79099907R</t>
  </si>
  <si>
    <t>D+M Mřížka 600x350mm - Specifikace dle Výpis ostatních prvků - 7</t>
  </si>
  <si>
    <t>79099910R</t>
  </si>
  <si>
    <t>D+M Mřížka DN 125 - Specifikace dle Výpis ostatních prvků - 10</t>
  </si>
  <si>
    <t>79099912R</t>
  </si>
  <si>
    <t>D+M Odvětrání komínových průduchů a kanalizace - Specifikace dle Výpis ostatních prvků - 12</t>
  </si>
  <si>
    <t>" Osazena flexibilní hadice v délce 3m, propojení na střešní prostupovou tašku, sada s těsnící pryžovou manžetou, nástavec komínové hlavy s redukcí "</t>
  </si>
  <si>
    <t>" Včetně kotvících prvků, veškerého příslušenství a příslušenství dle PD. "</t>
  </si>
  <si>
    <t>79099913R</t>
  </si>
  <si>
    <t>D+M Systémová komínová lávka - Specifikace dle Výpis ostatních prvků - 13</t>
  </si>
  <si>
    <t>" Systémová lávka se zábradlím dl 1m "</t>
  </si>
  <si>
    <t>79099914R</t>
  </si>
  <si>
    <t>D+M Komínová lávka k anténám - Specifikace dle Výpis ostatních prvků - 14</t>
  </si>
  <si>
    <t>79099915R</t>
  </si>
  <si>
    <t>D+M Stoupací plošina k lávce - Specifikace dle Výpis ostatních prvků - 14</t>
  </si>
  <si>
    <t>" Systémová stupadla pro danou střešní krytinu "</t>
  </si>
  <si>
    <t>79099918R</t>
  </si>
  <si>
    <t>Dmt+M Reklamní poutač na konzole - Specifikace dle Výpis ostatních prvků - 18</t>
  </si>
  <si>
    <t>79099919R</t>
  </si>
  <si>
    <t>Dmt+M Držák na reklamní tiskoviny - Specifikace dle Výpis ostatních prvků - 19</t>
  </si>
  <si>
    <t>79099920R</t>
  </si>
  <si>
    <t>Dmt+M Informativní štítek vedení sítě - Specifikace dle Výpis ostatních prvků - 20</t>
  </si>
  <si>
    <t>79099921R</t>
  </si>
  <si>
    <t>Dmt+M Reklamní tabule - Specifikace dle Výpis ostatních prvků - 21</t>
  </si>
  <si>
    <t>79099925R</t>
  </si>
  <si>
    <t>Dmt+M Dřevěná vitrína denního menu - Specifikace dle Výpis ostatních prvků - 25</t>
  </si>
  <si>
    <t>79099926R</t>
  </si>
  <si>
    <t>Dmt+M Informativní tabulky název ulice - Specifikace dle Výpis ostatních prvků - 26</t>
  </si>
  <si>
    <t>79099928R</t>
  </si>
  <si>
    <t>Dmt+M Informativní tabulky číslo domu - Specifikace dle Výpis ostatních prvků - 28</t>
  </si>
  <si>
    <t>79099930R</t>
  </si>
  <si>
    <t>Dmt+M Dopravní značka - Specifikace dle Výpis ostatních prvků - 30</t>
  </si>
  <si>
    <t>79099932R</t>
  </si>
  <si>
    <t>Dmt+M Odfuk plynu - 2x oc. trubka dl 3m  - Specifikace dle Výpis ostatních prvků - 32</t>
  </si>
  <si>
    <t>79099933R</t>
  </si>
  <si>
    <t>Dmt+M Dopravní značka - Specifikace dle Výpis ostatních prvků - 33</t>
  </si>
  <si>
    <t>79099934R</t>
  </si>
  <si>
    <t>Dmt+M Teplotní čidlo + 4m kabeláž - Specifikace dle Výpis ostatních prvků - 34</t>
  </si>
  <si>
    <t>79099937R</t>
  </si>
  <si>
    <t>Dmt+M Lehká stříška š 1500mm - Specifikace dle Výpis ostatních prvků - 37</t>
  </si>
  <si>
    <t>79099940R</t>
  </si>
  <si>
    <t>D+M Chránička pro kabelové vedení - Specifikace dle Výpis ostatních prvků - 40</t>
  </si>
  <si>
    <t>79099941R</t>
  </si>
  <si>
    <t>D+M Odborné očištění plastiky nad vstupem - Specifikace dle Výpis ostatních prvků - 41, 42</t>
  </si>
  <si>
    <t>" Plastika nad vjezdem pro zásobování pekařství a plastiky nad lodžiemi "</t>
  </si>
  <si>
    <t>79099943R</t>
  </si>
  <si>
    <t>Dmt+M Ocelové dvířka 400x600mm - Specifikace dle Výpis ostatních prvků - 43, 46</t>
  </si>
  <si>
    <t>" Obroušení a natření ocelových dvířek, vysátí vnitřního prostoru skříně "</t>
  </si>
  <si>
    <t>79099948R</t>
  </si>
  <si>
    <t>Dmt+M Ocelové dvířka 600x1500mm - Specifikace dle Výpis ostatních prvků - 48</t>
  </si>
  <si>
    <t>79099949R</t>
  </si>
  <si>
    <t>D+M Lapač naplavenin DN 125 - Specifikace dle Výpis ostatních prvků - 49</t>
  </si>
  <si>
    <t>" Osazení nových lapačů šedá litina DN 125, včetně napojení na stávající kanalizaci "</t>
  </si>
  <si>
    <t>790999100R</t>
  </si>
  <si>
    <t>Demontáž jednoduchých prvků na fasádě – Specifikace lde Výpis ostatních prvků – 11, 16, 17, 27, 38</t>
  </si>
  <si>
    <t>" Demontáž stávajících prvků na fasádě – 2ks ocelová mřížka 400x200mm, 14ks držák na vlajku, 17ks ocelový držák na anténu, 3ks kryt připojení vody, 45ks okenní sušák na prádlo "</t>
  </si>
  <si>
    <t>790999101R</t>
  </si>
  <si>
    <t>Demontáž složitých prvků na fasádě – Specifikace dle Výpis ostatních prvků – 8, 9, 22, 23, 24, 29, 31, 39</t>
  </si>
  <si>
    <t>" Demontáž stávajících prvků na fasádě – 2ks el. Ventilátor 450x450mm, 1ks montážní jakl pro  zastřešení zahrádky, 5ks osvětlení zahrádky, 3ks plátěná markýza, 1ks anténa, 2ks osvětlení, 1ks skříňka ovládaní výtahu "</t>
  </si>
  <si>
    <t>M</t>
  </si>
  <si>
    <t>Práce a dodávky M</t>
  </si>
  <si>
    <t>43-M</t>
  </si>
  <si>
    <t>Montáže ocelových konstrukcí</t>
  </si>
  <si>
    <t>43099901R</t>
  </si>
  <si>
    <t>Demontáž stávajícího ocelového přístřešku pro zpětné použití – Z22</t>
  </si>
  <si>
    <t>" Demontáž stávajícího přístřešku obj. Hrnčířská 3 - montovaná konstrukce 6x ocelový sloupek výšky 3m, krytina plech "</t>
  </si>
  <si>
    <t>CELKEM</t>
  </si>
  <si>
    <t>Část:   Zdravotechnika</t>
  </si>
  <si>
    <t>PČ</t>
  </si>
  <si>
    <t>Typ</t>
  </si>
  <si>
    <t>Kód</t>
  </si>
  <si>
    <t>Množství</t>
  </si>
  <si>
    <t>J.cena [CZK]</t>
  </si>
  <si>
    <t>Cena celkem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</si>
  <si>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</si>
  <si>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</si>
  <si>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</si>
  <si>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</si>
  <si>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</si>
  <si>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</si>
  <si>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</si>
  <si>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</si>
  <si>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</t>
  </si>
  <si>
    <t>-1</t>
  </si>
  <si>
    <t>0</t>
  </si>
  <si>
    <t>ROZPOCET</t>
  </si>
  <si>
    <t>721</t>
  </si>
  <si>
    <t>Zdravotechnika - vnitřní kanalizace</t>
  </si>
  <si>
    <t>K</t>
  </si>
  <si>
    <t>721100911</t>
  </si>
  <si>
    <t>Zazátkování hrdla potrubí kanalizačního</t>
  </si>
  <si>
    <t>CS ÚRS 2019 01</t>
  </si>
  <si>
    <t>16</t>
  </si>
  <si>
    <t>277011127</t>
  </si>
  <si>
    <t>721171803</t>
  </si>
  <si>
    <t>Demontáž potrubí z PVC do D 75</t>
  </si>
  <si>
    <t>-1013295680</t>
  </si>
  <si>
    <t>721171808</t>
  </si>
  <si>
    <t>Demontáž potrubí z PVC do D 114</t>
  </si>
  <si>
    <t>162231663</t>
  </si>
  <si>
    <t>721173401</t>
  </si>
  <si>
    <t>Potrubí kanalizační z PVC SN 4 svodné DN 110</t>
  </si>
  <si>
    <t>-1953324894</t>
  </si>
  <si>
    <t>721173402</t>
  </si>
  <si>
    <t>Potrubí kanalizační z PVC SN 4 svodné DN 125</t>
  </si>
  <si>
    <t>-1657929319</t>
  </si>
  <si>
    <t>721174025</t>
  </si>
  <si>
    <t>Potrubí kanalizační z PP odpadní DN 110</t>
  </si>
  <si>
    <t>-149907891</t>
  </si>
  <si>
    <t>721174042</t>
  </si>
  <si>
    <t>Potrubí kanalizační z PP připojovací DN 40</t>
  </si>
  <si>
    <t>1146208991</t>
  </si>
  <si>
    <t>8</t>
  </si>
  <si>
    <t>721174043</t>
  </si>
  <si>
    <t>Potrubí kanalizační z PP připojovací DN 50</t>
  </si>
  <si>
    <t>2091529758</t>
  </si>
  <si>
    <t>9</t>
  </si>
  <si>
    <t>721194104</t>
  </si>
  <si>
    <t>Vyvedení a upevnění odpadních výpustek DN 40</t>
  </si>
  <si>
    <t>1689361311</t>
  </si>
  <si>
    <t>10</t>
  </si>
  <si>
    <t>721194105</t>
  </si>
  <si>
    <t>Vyvedení a upevnění odpadních výpustek DN 50</t>
  </si>
  <si>
    <t>1691988387</t>
  </si>
  <si>
    <t>11</t>
  </si>
  <si>
    <t>721194109</t>
  </si>
  <si>
    <t>Vyvedení a upevnění odpadních výpustek DN 100</t>
  </si>
  <si>
    <t>-96106725</t>
  </si>
  <si>
    <t>12</t>
  </si>
  <si>
    <t>721290111</t>
  </si>
  <si>
    <t>Zkouška těsnosti potrubí kanalizace vodou do DN 125</t>
  </si>
  <si>
    <t>-1878656785</t>
  </si>
  <si>
    <t>13</t>
  </si>
  <si>
    <t>721290821</t>
  </si>
  <si>
    <t>Přemístění vnitrostaveništní demontovaných hmot vnitřní kanalizace v objektech výšky do 6 m</t>
  </si>
  <si>
    <t>1077540376</t>
  </si>
  <si>
    <t>14</t>
  </si>
  <si>
    <t>721300922</t>
  </si>
  <si>
    <t>Pročištění svodů ležatých do DN 300</t>
  </si>
  <si>
    <t>-2135644320</t>
  </si>
  <si>
    <t>15</t>
  </si>
  <si>
    <t>721992p.c.</t>
  </si>
  <si>
    <t>Propojení stáv. odpdního potrubí (K3)</t>
  </si>
  <si>
    <t>1949427370</t>
  </si>
  <si>
    <t>17</t>
  </si>
  <si>
    <t>998721201</t>
  </si>
  <si>
    <t>Přesun hmot procentní pro vnitřní kanalizace v objektech v do 6 m</t>
  </si>
  <si>
    <t>1482495293</t>
  </si>
  <si>
    <t>722</t>
  </si>
  <si>
    <t>Zdravotechnika - vnitřní vodovod</t>
  </si>
  <si>
    <t>18</t>
  </si>
  <si>
    <t>722170801</t>
  </si>
  <si>
    <t>Demontáž rozvodů vody z plastů do D 25</t>
  </si>
  <si>
    <t>-1860787758</t>
  </si>
  <si>
    <t>19</t>
  </si>
  <si>
    <t>722174002</t>
  </si>
  <si>
    <t>Potrubí vodovodní plastové PPR svar polyfuze PN 16 D 20 x 2,8 mm</t>
  </si>
  <si>
    <t>-1197651880</t>
  </si>
  <si>
    <t>20</t>
  </si>
  <si>
    <t>722174003</t>
  </si>
  <si>
    <t>Potrubí vodovodní plastové PPR svar polyfuze PN 16 D 25 x 3,5 mm</t>
  </si>
  <si>
    <t>1715987234</t>
  </si>
  <si>
    <t>21</t>
  </si>
  <si>
    <t>722181231</t>
  </si>
  <si>
    <t>Ochrana vodovodního potrubí přilepenými termoizolačními trubicemi z PE tl do 13 mm DN do 22 mm</t>
  </si>
  <si>
    <t>1265593563</t>
  </si>
  <si>
    <t>22</t>
  </si>
  <si>
    <t>722181232</t>
  </si>
  <si>
    <t>Ochrana vodovodního potrubí přilepenými termoizolačními trubicemi z PE tl do 13 mm DN do 45 mm</t>
  </si>
  <si>
    <t>471317885</t>
  </si>
  <si>
    <t>23</t>
  </si>
  <si>
    <t>722190901</t>
  </si>
  <si>
    <t>Uzavření nebo otevření vodovodního potrubí při opravách</t>
  </si>
  <si>
    <t>-172062454</t>
  </si>
  <si>
    <t>24</t>
  </si>
  <si>
    <t>722220152</t>
  </si>
  <si>
    <t>Nástěnka závitová plastová PPR PN 20 DN 20 x G 1/2</t>
  </si>
  <si>
    <t>-1232439552</t>
  </si>
  <si>
    <t>25</t>
  </si>
  <si>
    <t>722220861</t>
  </si>
  <si>
    <t>Demontáž armatur závitových se dvěma závity G do 3/4</t>
  </si>
  <si>
    <t>-331909839</t>
  </si>
  <si>
    <t>26</t>
  </si>
  <si>
    <t>722240122</t>
  </si>
  <si>
    <t>Kohout kulový plastový PPR DN 20</t>
  </si>
  <si>
    <t>319700359</t>
  </si>
  <si>
    <t>27</t>
  </si>
  <si>
    <t>722260811</t>
  </si>
  <si>
    <t>Demontáž vodoměrů závitových G 1/2</t>
  </si>
  <si>
    <t>-375710595</t>
  </si>
  <si>
    <t>28</t>
  </si>
  <si>
    <t>722260921</t>
  </si>
  <si>
    <t>Zpětná montáž vodoměrů závitových G 1/2</t>
  </si>
  <si>
    <t>850587896</t>
  </si>
  <si>
    <t>29</t>
  </si>
  <si>
    <t>722290226</t>
  </si>
  <si>
    <t>Zkouška těsnosti vodovodního potrubí závitového do DN 50</t>
  </si>
  <si>
    <t>271635720</t>
  </si>
  <si>
    <t>30</t>
  </si>
  <si>
    <t>722290234</t>
  </si>
  <si>
    <t>Proplach a dezinfekce vodovodního potrubí do DN 80</t>
  </si>
  <si>
    <t>-781000231</t>
  </si>
  <si>
    <t>31</t>
  </si>
  <si>
    <t>722290821</t>
  </si>
  <si>
    <t>Přemístění vnitrostaveništní demontovaných hmot pro vnitřní vodovod v objektech výšky do 6 m</t>
  </si>
  <si>
    <t>550328953</t>
  </si>
  <si>
    <t>32</t>
  </si>
  <si>
    <t>722991p.c.</t>
  </si>
  <si>
    <t>Napojení na stávající potrubí studené a teplé vody</t>
  </si>
  <si>
    <t>2143319969</t>
  </si>
  <si>
    <t>33</t>
  </si>
  <si>
    <t>722992p.c.</t>
  </si>
  <si>
    <t>Napojení stávajícího potrubí pro stánek</t>
  </si>
  <si>
    <t>-1283462596</t>
  </si>
  <si>
    <t>34</t>
  </si>
  <si>
    <t>722993p.c.</t>
  </si>
  <si>
    <t>Úprava stávajícího potrubí pro stánek (zasekání do soklu)</t>
  </si>
  <si>
    <t>-1614184630</t>
  </si>
  <si>
    <t>35</t>
  </si>
  <si>
    <t>998722201</t>
  </si>
  <si>
    <t>Přesun hmot procentní pro vnitřní vodovod v objektech v do 6 m</t>
  </si>
  <si>
    <t>-1101620485</t>
  </si>
  <si>
    <t>723</t>
  </si>
  <si>
    <t>Zdravotechnika - vnitřní plynovod</t>
  </si>
  <si>
    <t>36</t>
  </si>
  <si>
    <t>723120804</t>
  </si>
  <si>
    <t>Demontáž potrubí ocelové závitové svařované do DN 25</t>
  </si>
  <si>
    <t>97671504</t>
  </si>
  <si>
    <t>37</t>
  </si>
  <si>
    <t>723290821</t>
  </si>
  <si>
    <t>Přemístění vnitrostaveništní demontovaných hmot pro vnitřní plynovod v objektech výšky do 6 m</t>
  </si>
  <si>
    <t>-2024779365</t>
  </si>
  <si>
    <t>38</t>
  </si>
  <si>
    <t>723991p.c.</t>
  </si>
  <si>
    <t>Zaslepení stáv. plynovodního potrubí</t>
  </si>
  <si>
    <t>-80487869</t>
  </si>
  <si>
    <t>725</t>
  </si>
  <si>
    <t>Zdravotechnika - zařizovací předměty</t>
  </si>
  <si>
    <t>39</t>
  </si>
  <si>
    <t>725110814</t>
  </si>
  <si>
    <t>Demontáž klozetu Kombi, odsávací</t>
  </si>
  <si>
    <t>soubor</t>
  </si>
  <si>
    <t>1474175692</t>
  </si>
  <si>
    <t>40</t>
  </si>
  <si>
    <t>725112022</t>
  </si>
  <si>
    <t>Klozet keramický závěsný na nosné stěny s hlubokým splachováním odpad vodorovný</t>
  </si>
  <si>
    <t>-1779913567</t>
  </si>
  <si>
    <t>41</t>
  </si>
  <si>
    <t>725210821</t>
  </si>
  <si>
    <t>Demontáž umyvadel bez výtokových armatur</t>
  </si>
  <si>
    <t>1909283642</t>
  </si>
  <si>
    <t>42</t>
  </si>
  <si>
    <t>725211615</t>
  </si>
  <si>
    <t>Umyvadlo keramické bílé šířky 500 mm s krytem na sifon připevněné na stěnu šrouby</t>
  </si>
  <si>
    <t>-700841983</t>
  </si>
  <si>
    <t>43</t>
  </si>
  <si>
    <t>725310821</t>
  </si>
  <si>
    <t>Demontáž dřez jednoduchý na ocelové konzole bez výtokových armatur</t>
  </si>
  <si>
    <t>858577745</t>
  </si>
  <si>
    <t>44</t>
  </si>
  <si>
    <t>725310919</t>
  </si>
  <si>
    <t>Zpětná montáž dřezu ocelového jednodílného</t>
  </si>
  <si>
    <t>853971064</t>
  </si>
  <si>
    <t>45</t>
  </si>
  <si>
    <t>725590811</t>
  </si>
  <si>
    <t>Přemístění vnitrostaveništní demontovaných zařizovacích předmětů v objektech výšky do 6 m</t>
  </si>
  <si>
    <t>121722248</t>
  </si>
  <si>
    <t>46</t>
  </si>
  <si>
    <t>725813111</t>
  </si>
  <si>
    <t>Ventil rohový bez připojovací trubičky nebo flexi hadičky G 1/2</t>
  </si>
  <si>
    <t>-579756822</t>
  </si>
  <si>
    <t>47</t>
  </si>
  <si>
    <t>725813141</t>
  </si>
  <si>
    <t>Kolínko připojovací bez připojovací trubičky nebo flexi hadičky G 1/2</t>
  </si>
  <si>
    <t>679320104</t>
  </si>
  <si>
    <t>48</t>
  </si>
  <si>
    <t>725820801</t>
  </si>
  <si>
    <t>Demontáž baterie nástěnné do G 3 / 4</t>
  </si>
  <si>
    <t>-1055096389</t>
  </si>
  <si>
    <t>49</t>
  </si>
  <si>
    <t>725821312</t>
  </si>
  <si>
    <t>Baterie dřezová nástěnná páková s otáčivým kulatým ústím a délkou ramínka 300 mm</t>
  </si>
  <si>
    <t>302043509</t>
  </si>
  <si>
    <t>50</t>
  </si>
  <si>
    <t>725822612</t>
  </si>
  <si>
    <t>Baterie umyvadlová stojánková páková s výpustí</t>
  </si>
  <si>
    <t>-168055927</t>
  </si>
  <si>
    <t>51</t>
  </si>
  <si>
    <t>725860811</t>
  </si>
  <si>
    <t>Demontáž uzávěrů zápachu jednoduchých</t>
  </si>
  <si>
    <t>-672946435</t>
  </si>
  <si>
    <t>52</t>
  </si>
  <si>
    <t>725861102</t>
  </si>
  <si>
    <t>Zápachová uzávěrka pro umyvadla DN 40</t>
  </si>
  <si>
    <t>-1616821551</t>
  </si>
  <si>
    <t>53</t>
  </si>
  <si>
    <t>725862103</t>
  </si>
  <si>
    <t>Zápachová uzávěrka pro dřezy DN 40/50</t>
  </si>
  <si>
    <t>-449707810</t>
  </si>
  <si>
    <t>54</t>
  </si>
  <si>
    <t>998725201</t>
  </si>
  <si>
    <t>Přesun hmot procentní pro zařizovací předměty v objektech v do 6 m</t>
  </si>
  <si>
    <t>-927795259</t>
  </si>
  <si>
    <t>726</t>
  </si>
  <si>
    <t>Zdravotechnika - předstěnové instalace</t>
  </si>
  <si>
    <t>55</t>
  </si>
  <si>
    <t>726111031</t>
  </si>
  <si>
    <t>Instalační předstěna - klozet s ovládáním zepředu v 1080 mm závěsný do masivní zděné kce</t>
  </si>
  <si>
    <t>730388936</t>
  </si>
  <si>
    <t>56</t>
  </si>
  <si>
    <t>726191001</t>
  </si>
  <si>
    <t>Zvukoizolační souprava pro klozet a bidet</t>
  </si>
  <si>
    <t>1444831005</t>
  </si>
  <si>
    <t>57</t>
  </si>
  <si>
    <t>726191002</t>
  </si>
  <si>
    <t>Souprava pro předstěnovou montáž</t>
  </si>
  <si>
    <t>-2078471428</t>
  </si>
  <si>
    <t>58</t>
  </si>
  <si>
    <t>998726211</t>
  </si>
  <si>
    <t>Přesun hmot procentní pro instalační prefabrikáty v objektech v do 6 m</t>
  </si>
  <si>
    <t>-1021277842</t>
  </si>
  <si>
    <t>Část:   Elektroinstalace</t>
  </si>
  <si>
    <t xml:space="preserve"> </t>
  </si>
  <si>
    <t>Jednot.</t>
  </si>
  <si>
    <t>Náklady (Kč)</t>
  </si>
  <si>
    <t>Hmotnost (t)</t>
  </si>
  <si>
    <t>Č</t>
  </si>
  <si>
    <t>Objekt</t>
  </si>
  <si>
    <t>Zkrácený popis</t>
  </si>
  <si>
    <t>M.j.</t>
  </si>
  <si>
    <t>cena (Kč)</t>
  </si>
  <si>
    <t>Dodávka</t>
  </si>
  <si>
    <t>Montáž</t>
  </si>
  <si>
    <t>M21</t>
  </si>
  <si>
    <t>Elektromontáže</t>
  </si>
  <si>
    <t>210010301RT2</t>
  </si>
  <si>
    <t>Krabice přístrojová KP 68, KZ 3, bez zapojení</t>
  </si>
  <si>
    <t>Osvětlení</t>
  </si>
  <si>
    <t>a</t>
  </si>
  <si>
    <t>210010002RT2</t>
  </si>
  <si>
    <t>Trubka ohebná pod omítku, TO20</t>
  </si>
  <si>
    <t>210010101R00</t>
  </si>
  <si>
    <t>Lišta z PH bez krabic,ulož. pevně,LV 18/13</t>
  </si>
  <si>
    <t>210010102RT1</t>
  </si>
  <si>
    <t>Lišta z PH bez krabic,ulož. pevně,LV  40/40</t>
  </si>
  <si>
    <t>210010323RT2</t>
  </si>
  <si>
    <t>Krabice odbočná KR 125, se zapojením-čtvercová</t>
  </si>
  <si>
    <t>210021061R00</t>
  </si>
  <si>
    <t>Zednické práce vč.materiálu (omítání,sekání a pod.)</t>
  </si>
  <si>
    <t>hod</t>
  </si>
  <si>
    <t>210100001R00</t>
  </si>
  <si>
    <t>Ukončení vodičů v rozvaděči + zapojení do 2,5 mm2</t>
  </si>
  <si>
    <t>210200036R00</t>
  </si>
  <si>
    <t>Svítidlo LED my GARDEN Eagle 4W,IP44 se senzorem pohybu A+</t>
  </si>
  <si>
    <t>210200109R00</t>
  </si>
  <si>
    <t>Svítidlo zářivkové  FALCON 136-AR-EP 1x36W IP20 A+</t>
  </si>
  <si>
    <t>210200107RT1</t>
  </si>
  <si>
    <t>Svítidlo  CORSO LED 1x13W stropní IP65 A+</t>
  </si>
  <si>
    <t>21VD</t>
  </si>
  <si>
    <t>Demontáže elektroinstalace, vyhledání stávajících obvodů a určení způsobu jejich napojení, provedení napojení ve stávajících místnostech</t>
  </si>
  <si>
    <t>210201053R00</t>
  </si>
  <si>
    <t>Demontáž  stávajícího svítidla</t>
  </si>
  <si>
    <t>210150601R00</t>
  </si>
  <si>
    <t>Revize elektroinstalace</t>
  </si>
  <si>
    <t>210190021R00</t>
  </si>
  <si>
    <t>Vyhledání stáv. obvodů v rozváděči</t>
  </si>
  <si>
    <t>210203614R00</t>
  </si>
  <si>
    <t>Příspěvek na recyklací svítidla</t>
  </si>
  <si>
    <t>210203701R00</t>
  </si>
  <si>
    <t>Příspěvek na recyklaci světelného zdroje</t>
  </si>
  <si>
    <t>210800105RT3</t>
  </si>
  <si>
    <t>Kabel CYKY-J 750 V 3x1,5 mm2</t>
  </si>
  <si>
    <t>210800106RT3</t>
  </si>
  <si>
    <t>Kabel CYKY 750 V 3x2,5 mm2</t>
  </si>
  <si>
    <t>210100251R00</t>
  </si>
  <si>
    <t>Ukončení celoplast. kabelů zákl./pás.do 4x10 mm2</t>
  </si>
  <si>
    <t>210110001RT1</t>
  </si>
  <si>
    <t>Spínač pod omítku jednopól.- řaz. 1</t>
  </si>
  <si>
    <t>210111061R00</t>
  </si>
  <si>
    <t>Zásuvka domovní vodotěsná 16A/230V IP44</t>
  </si>
  <si>
    <t>210150101R00</t>
  </si>
  <si>
    <t>Opětovná montáž svítidla na nové místo vč.zapojení a prodloužení stáv. přívodu</t>
  </si>
  <si>
    <t>210010351RT1</t>
  </si>
  <si>
    <t>Krabice ACIDUR lis. izol. 6455-11 do 4 mm2</t>
  </si>
  <si>
    <t>210110101R00</t>
  </si>
  <si>
    <t>Tlačítko 1/0 IP44</t>
  </si>
  <si>
    <t>210020252R00</t>
  </si>
  <si>
    <t>Demontáž  požárních ventilátorů a jejich odpojení v rozváděči</t>
  </si>
  <si>
    <t>ks</t>
  </si>
  <si>
    <t>210860242R00</t>
  </si>
  <si>
    <t>Kabel JYTY s Al 2x1 pevně uložený</t>
  </si>
  <si>
    <t>210100262R00</t>
  </si>
  <si>
    <t>Ukončení kabelů  JYTY do 10x1</t>
  </si>
  <si>
    <t>210150131R00</t>
  </si>
  <si>
    <t>Ventilátor 230V/500W</t>
  </si>
  <si>
    <t>210150055R00</t>
  </si>
  <si>
    <t>Relé SMR-T zpoždění</t>
  </si>
  <si>
    <t>M30VD</t>
  </si>
  <si>
    <t>Stroje zařízení</t>
  </si>
  <si>
    <t>3013aVD</t>
  </si>
  <si>
    <t>Zvonek 8V</t>
  </si>
  <si>
    <t>3020bVD</t>
  </si>
  <si>
    <t>Ventilátor 230V/0,34kW</t>
  </si>
  <si>
    <t>M40</t>
  </si>
  <si>
    <t>Montáže zařízení pro výrobu stavebních hmot</t>
  </si>
  <si>
    <t>4002VD</t>
  </si>
  <si>
    <t>Trubice  18 až 34 W/840</t>
  </si>
  <si>
    <t>M40VD</t>
  </si>
  <si>
    <t>Světelné zdroje</t>
  </si>
  <si>
    <t>4003VD</t>
  </si>
  <si>
    <t>Zářivková rubice do 58W/840</t>
  </si>
  <si>
    <t>slaboproud</t>
  </si>
  <si>
    <t>b</t>
  </si>
  <si>
    <t>Ukončení kabelů  SYKFY do 10x2x0,5</t>
  </si>
  <si>
    <t>210860241R00</t>
  </si>
  <si>
    <t>210010321RT1</t>
  </si>
  <si>
    <t>Krabice odbočná KR 68, se zapojením-kruhová</t>
  </si>
  <si>
    <t>210850402R00</t>
  </si>
  <si>
    <t>Vodič UTP-CAT5e</t>
  </si>
  <si>
    <t>210100260R00</t>
  </si>
  <si>
    <t>Ukončení kabelu UTP cat.5E vč.koncovek</t>
  </si>
  <si>
    <t>210204211R00</t>
  </si>
  <si>
    <t>Tablo domácího telefonu 12 tlačítkové do rámečku do zdi 2M</t>
  </si>
  <si>
    <t>210204101R00</t>
  </si>
  <si>
    <t>Tablo domácího telefonu 16 tlačítek 2M do rámečku do zdi</t>
  </si>
  <si>
    <t>210204103R00</t>
  </si>
  <si>
    <t>Tablo domácího telefonu 22 tlačítek 3M do rámečku do zdi</t>
  </si>
  <si>
    <t>210204103RS2</t>
  </si>
  <si>
    <t>Krabice a límec pro zvonkové tablo 2M</t>
  </si>
  <si>
    <t>210204201RT1</t>
  </si>
  <si>
    <t>Krabice alímec pro zvonkové tablo 3M</t>
  </si>
  <si>
    <t>3013dVD</t>
  </si>
  <si>
    <t>Úprava rozváděčů</t>
  </si>
  <si>
    <t>M10VD</t>
  </si>
  <si>
    <t>Rozváděče</t>
  </si>
  <si>
    <t>1005cVD</t>
  </si>
  <si>
    <t>Proudový chánič s nadproudovou ochranou 1fázový OLI 16B 1N 030A</t>
  </si>
  <si>
    <t>1002VD</t>
  </si>
  <si>
    <t>Jistič LTN/B/1 do 25A</t>
  </si>
  <si>
    <t>1014aVD</t>
  </si>
  <si>
    <t>Úprava stáv.rozváděče vč krycích plechů, nové přístrojového roštu,demontáž přístrojů a roštu, vyhledání stáv. obvodů</t>
  </si>
  <si>
    <t>1014bVD</t>
  </si>
  <si>
    <t>Vyhledání stávajícího zapojení a nové zapojení stávajících obvodů</t>
  </si>
  <si>
    <t>1015VD</t>
  </si>
  <si>
    <t>Spínací hodiny OEZ MAP 16-001</t>
  </si>
  <si>
    <t>1027VD</t>
  </si>
  <si>
    <t>Trafo zvonkové UTZ-4-A 230/3-8V na lištu</t>
  </si>
  <si>
    <t>Celkem:</t>
  </si>
  <si>
    <t>Část:   SAT-TV</t>
  </si>
  <si>
    <t xml:space="preserve">konvertor Quatro </t>
  </si>
  <si>
    <t>parabola multifocus</t>
  </si>
  <si>
    <t>satelitní konzol</t>
  </si>
  <si>
    <t>multipřepínač 17/50</t>
  </si>
  <si>
    <t>koaxiální kabel 8 žil</t>
  </si>
  <si>
    <t>plechová rozvodnice</t>
  </si>
  <si>
    <t>konektory kompresní</t>
  </si>
  <si>
    <t>koaxiální kabel</t>
  </si>
  <si>
    <t>1m lišty půda</t>
  </si>
  <si>
    <t>lišty na chodbách, cca 20m vchod, včetně instalace</t>
  </si>
  <si>
    <t>průrazy beton k-cí (50 x 50 x 210 mm)</t>
  </si>
  <si>
    <t>zkrácení stožáru na výšku 3,20 m a úprava povrchu nátěrem</t>
  </si>
  <si>
    <t>anténa UHF</t>
  </si>
  <si>
    <t>konzol pozink</t>
  </si>
  <si>
    <t>programovatelný zesilovač LEM</t>
  </si>
  <si>
    <t>programování zesilovače</t>
  </si>
  <si>
    <t>montáž sat, seřízení</t>
  </si>
  <si>
    <t>montáž multipřepínače</t>
  </si>
  <si>
    <t>natažení kabelů</t>
  </si>
  <si>
    <t>přívod 230V včetně uzemnění a revize</t>
  </si>
  <si>
    <t xml:space="preserve">I. Ceny el. instalačního materiálu pro LPS </t>
  </si>
  <si>
    <t>Jedn. cena</t>
  </si>
  <si>
    <t>Materiál pro hromosvody</t>
  </si>
  <si>
    <t>1.</t>
  </si>
  <si>
    <t>Sestava vysokonapěťového vodiče 150kA v podpůrné trubce GKF/Al s jímací tyčí l=2,5m, celková délka 7200mm (výška nad střechou 5,0m), vodič D23mm, SET, vysokonapěťový vodič 150kA v celkové délce 32m, šedý plášť, podpůrná trubka Al kotvena do stávajícího dřevěného krovu pomocí 2ks úchytů na prům. trubky 50mm</t>
  </si>
  <si>
    <t>2.</t>
  </si>
  <si>
    <t>3.</t>
  </si>
  <si>
    <t>Sestava vysokonapěťového vodiče 150kA v podpůrné trubce GKF/Al s jímací tyčí l=2,5m, celková délka 7200mm (výška nad střechou 5,0m), vodič D23mm, SET, vysokonapěťový vodič 150kA v celkové délce 27m, šedý plášť, podpůrná trubka Al kotvena do stávajícího dřevěného krovu pomocí 2ks úchytů na prům. trubky 50mm</t>
  </si>
  <si>
    <t>4.</t>
  </si>
  <si>
    <t>Vysokonapěťový propojovací vodič 150kA pro snížení dostatečné vzdálenosti, průměr vodiče 23mm, šedý plášť, celková délka 25m + 2x připojovací prvek pro zakončení vodiče na destičku jímače JT50</t>
  </si>
  <si>
    <t>5.</t>
  </si>
  <si>
    <t>Vysokonapěťový propojovací vodič 150kA pro snížení dostatečné vzdálenosti, průměr vodiče 23mm, šedý plášť, celková délka 24m + 2x připojovací prvek pro zakončení vodiče na destičku jímače JT50</t>
  </si>
  <si>
    <t>6.</t>
  </si>
  <si>
    <t>7.</t>
  </si>
  <si>
    <t>Vysokonapěťový propojovací vodič 150kA pro snížení dostatečné vzdálenosti, průměr vodiče 23mm, šedý plášť, celková délka 18m + 2x připojovací prvek pro zakončení vodiče na destičku jímače JT50</t>
  </si>
  <si>
    <t>8.</t>
  </si>
  <si>
    <t>Sada pro upevnění vysokonapěťových vodičů k podpůrné trubce jímače JT50, složená z připojovací destičky a upevňovacího kroužku se 4-mi držáky a 2ks stahovacích pásek</t>
  </si>
  <si>
    <t>9.</t>
  </si>
  <si>
    <t>Podpěra vedení do zdi, nerez, závit M8 h 23, Rd 23 pro montáž mimo koncovku vysokonapěťového vodiče</t>
  </si>
  <si>
    <t>10.</t>
  </si>
  <si>
    <t>Chodníková litinová revizní krabice (300x220x120mm) se zkušební svorkou SZ</t>
  </si>
  <si>
    <t>11.</t>
  </si>
  <si>
    <t>Svorka křížová SK1 (kulatina - kulatina) 60x60 mm s destičkou, nerez V4A, Rd 8-10/Rd 8-10</t>
  </si>
  <si>
    <t>12.</t>
  </si>
  <si>
    <t>Svorka křížová SK2 (pásek - pásek) 60x60 mm bez destičky, nerez V4A, Fl 30/Fl 30</t>
  </si>
  <si>
    <t>13.</t>
  </si>
  <si>
    <t>Svorka křížová SK3 (pásek - kulatina) 60x60 mm s destičkou, nerez V4A, Rd 8-10/Rd 8-10/Fl 40</t>
  </si>
  <si>
    <t>14.</t>
  </si>
  <si>
    <t>Pásek FeZn 30x4mm, 0,95kg/m (m) 70mikronů</t>
  </si>
  <si>
    <t>15.</t>
  </si>
  <si>
    <t>Drát Nerez V4A, Rd 10, prům.10mm, 0,62kg/m (m)</t>
  </si>
  <si>
    <t>16.</t>
  </si>
  <si>
    <t>Označovací štítek Al s vyraženým číslem pro Rd 7-10/Fl 30</t>
  </si>
  <si>
    <t>17.</t>
  </si>
  <si>
    <t xml:space="preserve">Výstražný štítek Al POZOR (Při bouřce se nezdržujte se na tomto místě) </t>
  </si>
  <si>
    <t>18.</t>
  </si>
  <si>
    <t>Typová skříň pro svodiče bleskového proudu I.stupeň - T1 - 12,5kA/pól (šxvxh) 315x280x117mm, do výklenku, IP44/20, parapet +0,9m, In=3x125A</t>
  </si>
  <si>
    <t>19.</t>
  </si>
  <si>
    <t>Hlavní ochranná přípojnice budovy ozn. MET - 300x200x150mm, parapet +0,6m</t>
  </si>
  <si>
    <t>20.</t>
  </si>
  <si>
    <t xml:space="preserve">H07V (CYA) 25 - (hlavní pospojování, veškeré ocelové vstupy IS - voda, kanál, plyn, pospojovaní na střechu pro JT48, rozvaděčů RSP, atd.) </t>
  </si>
  <si>
    <t>21.</t>
  </si>
  <si>
    <t>H07V (CY) 6 (místní pospojování jímačů JT50, ochrana před bleskem, aj.)</t>
  </si>
  <si>
    <t>22.</t>
  </si>
  <si>
    <t>Vruty chom. + hmoždinka</t>
  </si>
  <si>
    <t>23.</t>
  </si>
  <si>
    <t>AYKY-J  4x35 (dopojení RSP z HDS)</t>
  </si>
  <si>
    <t>Podružný  materiál 3%  z  ceny  materiálu</t>
  </si>
  <si>
    <t>3%  z     (cena  materiálu)</t>
  </si>
  <si>
    <t>Elektroinstalační  materiál  celkem  bez  DPH  (silnoproud)</t>
  </si>
  <si>
    <t>II. Montážní práce pro LPS</t>
  </si>
  <si>
    <t>Montáž materiálu pro hromosvody</t>
  </si>
  <si>
    <t xml:space="preserve">Sestava vysokonapěťového vodiče 150kA v podpůrné trubce GKF/Al s jímací tyčí l=2,5m, celková délka 7200mm (výška nad střechou 5,0m), vodič D23mm, SET, vysokonapěťový vodič 150kA v celkové délce 32m, šedý plášť, podpůrná trubka Al kotvena do stávajícího dřevěného krovu pomocí 2ks úchytů na prům. trubky 50mm + montáž podpěr na vodič prům. 23mm </t>
  </si>
  <si>
    <t xml:space="preserve">Sestava vysokonapěťového vodiče 150kA v podpůrné trubce GKF/Al s jímací tyčí l=2,5m, celková délka 7200mm (výška nad střechou 5,0m), vodič D23mm, SET, vysokonapěťový vodič 150kA v celkové délce 27m, šedý plášť, podpůrná trubka Al kotvena do stávajícího dřevěného krovu pomocí 2ks úchytů na prům. trubky 50mm + montáž podpěr na vodič prům. 23mm </t>
  </si>
  <si>
    <t>Vysokonapěťový propojovací vodič 150kA pro snížení dostatečné vzdálenosti, průměr vodiče 23mm, šedý plášť, celková délka 25m + 2x připojovací prvek pro zakončení vodiče na destičku jímače JT50 + montáž podpěr na vodič prům. 23mm</t>
  </si>
  <si>
    <t>Vysokonapěťový propojovací vodič 150kA pro snížení dostatečné vzdálenosti, průměr vodiče 23mm, šedý plášť, celková délka 24m + 2x připojovací prvek pro zakončení vodiče na destičku jímače JT50 + montáž podpěr na vodič prům. 23mm</t>
  </si>
  <si>
    <t>Vysokonapěťový propojovací vodič 150kA pro snížení dostatečné vzdálenosti, průměr vodiče 23mm, šedý plášť, celková délka 18m + 2x připojovací prvek pro zakončení vodiče na destičku jímače JT50 + montáž podpěr na vodič prům. 23mm</t>
  </si>
  <si>
    <t>Chodníková litinová revizní krabice (300x220x120mm) pro zkušební svorku SZ</t>
  </si>
  <si>
    <t>Svorky nad 2 šrouby (ST, SJ, SK, SO, SZ)</t>
  </si>
  <si>
    <t>Pásek FeZn 30x4 v zemi</t>
  </si>
  <si>
    <t>Drát Nerez prům. 10mm bez podpěr v zemi</t>
  </si>
  <si>
    <t>Označovací a výstražný štítek</t>
  </si>
  <si>
    <t>Osazení a zapojení vestavného rozvaděče ozn.RSP  vč. ukončení vodičů 10ks do 50mm2</t>
  </si>
  <si>
    <t>Smontovaná vestavná přípojnice ozn. MET vč.ukončení vodičů do 25mm2 (6 ks)</t>
  </si>
  <si>
    <t xml:space="preserve">H07V (CYA) 25 - (hlavní pospojování) </t>
  </si>
  <si>
    <t>H07V (CY) 6 (místní pospojování, ochrana před bleskem, aj.)</t>
  </si>
  <si>
    <t>Montáž vrutu prům.8mm včetně hmoždinky</t>
  </si>
  <si>
    <t>Nátěr svodového vodiče a spojů</t>
  </si>
  <si>
    <t>AYKY-J  4x35</t>
  </si>
  <si>
    <t>Zednické práce + materiál</t>
  </si>
  <si>
    <t>Frézování rýh 3x3 (cihla) v objektu pro hl. pospojování</t>
  </si>
  <si>
    <t>Frézování rýh 7x5 (cihla) v objektu pro svody LPS (půda)</t>
  </si>
  <si>
    <t>Průraz zdi cihla do max. tl.100cm (svody přes nadezdívku střechy + MET)</t>
  </si>
  <si>
    <t>Průraz zdí 30cm cihla</t>
  </si>
  <si>
    <t>Průraz stropem</t>
  </si>
  <si>
    <t>Vysekání (vyřezání) 0,1m2 tl.do 250mm, cihla malt. cem. (MET, RSP)</t>
  </si>
  <si>
    <t>Vodorovná doprava suti</t>
  </si>
  <si>
    <t>Vypravení omítek z 10% celkové plochy místností v m2, DOD+MONT (stěny 1.PP po montáži uzemnění k MET), CS ÚRS 2019</t>
  </si>
  <si>
    <t>Dvojnásobné bílé malby ze směsí za mokra středně otěruvzdorných v místnostech výšky do 3,80 m (stropy a stěny 1.PP po montáži uzemnění k MET), CS ÚRS 2019 - 784211121</t>
  </si>
  <si>
    <t>Hodinové zúčtovací sazby</t>
  </si>
  <si>
    <t>Příprava staveniště</t>
  </si>
  <si>
    <t>h</t>
  </si>
  <si>
    <t>Vyměřování svodů, skříní, průzkumy, aj.</t>
  </si>
  <si>
    <t>Demontáž stávající jímací soustavy na objektu</t>
  </si>
  <si>
    <t xml:space="preserve">Úprava stávající instalace (dopojení do stávající HDSS) </t>
  </si>
  <si>
    <t>Spolupráce s revizním technikem</t>
  </si>
  <si>
    <t>Revize včetně revizní zprávy (LPS + T1)</t>
  </si>
  <si>
    <t xml:space="preserve">Pronájem plošiny (montáž svodů, podpěr, demontáže aj.) </t>
  </si>
  <si>
    <t>den</t>
  </si>
  <si>
    <t>Koordinační činnost s ostatními profesemi</t>
  </si>
  <si>
    <t>Podíl přidružených výkonů  1%  z  ceny montáže</t>
  </si>
  <si>
    <t>1%  z     (cena  montáže)</t>
  </si>
  <si>
    <t>Doprava 2 %  z  ceny materiálu a montáže</t>
  </si>
  <si>
    <t>2%  z     (cena  materiálu a montáže)</t>
  </si>
  <si>
    <t>Montáž  celkem  bez  DPH  (silnoproud)</t>
  </si>
  <si>
    <t>Výkopové práce jsou součástí rozpočtu stavby!</t>
  </si>
  <si>
    <t>D+M Plastové dveře 1600x2050mm, U=1,7 W/m2K - Specifikace dle výpisu prvků - O25</t>
  </si>
  <si>
    <t>D+M Plastové dveře 1600x2200mm, U=1,7 W/m2K - Specifikace dle výpisu prvků - O26</t>
  </si>
  <si>
    <t>D+M Plastové dveře 900x2100mm, U=1,7 W/m2K - Specifikace dle výpisu prvků - O27</t>
  </si>
  <si>
    <t>" Fungicidní postřik krovu "</t>
  </si>
  <si>
    <t>Poplatek za uložení na skládce (skládkovné) stavebního odpadu směsného</t>
  </si>
  <si>
    <t>997</t>
  </si>
  <si>
    <t>38,7*2+854,9</t>
  </si>
  <si>
    <t>Nezpůsobilé položky - Slaboproud - rozváděče</t>
  </si>
  <si>
    <t>Kabel sdělovacíspeciální SYKFY 10x2x0,5</t>
  </si>
  <si>
    <t>Bezdrátový zvonek do zásuvky vč. tlačítka</t>
  </si>
  <si>
    <t>1.4. Způsobilé náklady - Všeobecné konstrukce</t>
  </si>
  <si>
    <t>2.5. Nezpůsobilé náklady - Všeobecné konstrukce</t>
  </si>
  <si>
    <t>79099939R</t>
  </si>
  <si>
    <t>D+M Okenní sušák na prádlo š 2100mm - Specifikace dle Výpis ostatních prvků – 38b</t>
  </si>
  <si>
    <t>" Uchyceno na balkonové zábradlí, včetně kotvících prvků, veškerého příslušenství a příslušenství dle PD. Včetně začištění míst po demontáži. "</t>
  </si>
  <si>
    <t>D+M Okenní sušák na prádlo š 2700mm - Specifikace dle Výpis ostatních prvků – 38c</t>
  </si>
  <si>
    <t>" Zateplovací systém OS14 s nalepenými nuty z výroby "</t>
  </si>
  <si>
    <t>" Demontáž krytiny Masarykova třída 14 " 4*(3,7*4,5)</t>
  </si>
  <si>
    <t>" Otlučení soklové části parter ulice Hrnčířská a Masarykova třída " 0,15*(75+17,3+26,1)</t>
  </si>
  <si>
    <t>" Otlučení omítky podhledu balkonových desek " 2,1*0,8*17+2,7*0,8*8+0,8*3,1*8+2,1*0,35*4+2,4*0,8*1+2,1*0,8*10</t>
  </si>
  <si>
    <t>" Odstranění stávajícího zateplení štítová stěna Masarykova třída 14 " (15,1*9,1)-2,7-2*3,9</t>
  </si>
  <si>
    <t>" Odstranění lepenky vikýře Masarykova třída 14 " 4*(3,7*4,5)</t>
  </si>
  <si>
    <t>" Odstranění hydroizolace Hrnčířská 5, 7, 9, 11 a Masarykova třída 14 " (15,8*75,5+9,7*26,9+7,7*17,7)-(3,2*5,8+4*(3,7*4,5))</t>
  </si>
  <si>
    <t>71299902R</t>
  </si>
  <si>
    <t>D+M Systémová skladba STŘ7 - Specifikace dle PD</t>
  </si>
  <si>
    <t>" - velkoformátová střešní krytina s dvojitou stojatou drážkou š 510mm, materiál hliník 0,6mm "</t>
  </si>
  <si>
    <t>" - jednovrstvá separační rohož z PP vláken tl. 8mm "</t>
  </si>
  <si>
    <t>" Vikýře Masarykova třída 14 " 4*(3,7*4,5)</t>
  </si>
  <si>
    <t>" Štítová stěna Masarykova třída 14 " (15,1*9,1)-2,7-2*3,9</t>
  </si>
  <si>
    <t>" Obvodová stěna půdních vestaveb Masarykova třída 14, včetně vikýřů " (2*7,4+15,2)*1+2,7*(7,2+7,4)+8*6</t>
  </si>
  <si>
    <t>" Demontáž dřevěného bednění tl. 22mm Masarykova třída 14 " 4*(3,7*4,5)</t>
  </si>
  <si>
    <t>D+M Plastové okno 1500x1200mm, U=1,0 W/m2K - Specifikace dle výpisu prvků - O11</t>
  </si>
  <si>
    <t>76699913R</t>
  </si>
  <si>
    <t>D+M Plastové okno 900x900mm, U=1,0 W/m2K - Specifikace dle výpisu prvků - O13</t>
  </si>
  <si>
    <t>76699914R</t>
  </si>
  <si>
    <t>D+M Plastové okno 1160x550mm, U=1,2 W/m2K - Specifikace dle výpisu prvků - O14</t>
  </si>
  <si>
    <t>76799901R</t>
  </si>
  <si>
    <t>D+M Prodloužení balkonové desky 0,75x3,10m - Specifikace dle výpisu zámečických výrobků - Z1</t>
  </si>
  <si>
    <t>" Celková váha oceli 156,2kg "</t>
  </si>
  <si>
    <t>" Penetrace štítová stěna Masarykova třída 14 " (15,1*9,1)-2,7-2*3,9</t>
  </si>
  <si>
    <t>" Penetrace obvodová stěna půdních vestaveb Masarykova třída 14, včetně vikýřů " (2*7,4+15,2)*1+2,7*(7,2+7,4)+8*6</t>
  </si>
  <si>
    <t>Stavba:   HRNČÍŘSKÁ 13, 15, 15A - VÝMĚNA OKEN A ZATEPLENÍ</t>
  </si>
  <si>
    <t>Část:   Všeobecné konstrukce</t>
  </si>
  <si>
    <t>Vedlejší rozpočtové a ostatní náklady</t>
  </si>
  <si>
    <t>Např. dle §8, §9, §10 apod. vyhlášky č.230/2012 Sb., rozpočtových standardů apod.</t>
  </si>
  <si>
    <t>Zajištění dokumentace skutečného provedení staveb včetně geodetického zaměření skutečného stavu jednotlicvých objektů (3xgrafická forma, 1xdigitální forma dle požadavků správce), veškeré doklady potřebné ke kolaudačnímu rozhodnutí</t>
  </si>
  <si>
    <t>Zajištění stávajícího objektu proti zatečení</t>
  </si>
  <si>
    <t>Provedení sond do střechy pro zjištění skutečného stavu podkladních vrstev a následnou úpravu nové krytiny s uvedením do původního stavu</t>
  </si>
  <si>
    <t>Provedení tahových zkoušek zateplení fasád</t>
  </si>
  <si>
    <t>Základové konstrukce</t>
  </si>
  <si>
    <t>Podsyp pod základové konstrukce se zhutněním z netříděného štěrkopísku</t>
  </si>
  <si>
    <t>" Podsyp pod schodišťový stupeň ext. schodiště " 0,1*1,5*0,5</t>
  </si>
  <si>
    <t>" Vstup zásobování prodejen " (0,18*0,3*2)</t>
  </si>
  <si>
    <t>" Bednění stupně - zásobování " 1,3*0,2*(1+1)</t>
  </si>
  <si>
    <t>Osazení chodníkového obrubníku betonového stojatého bez boční opěry do lože z betonu prostého</t>
  </si>
  <si>
    <t>" Osazení obrubníku exteriérové schodiště "</t>
  </si>
  <si>
    <t>obrubník betonový chodníkový 1000x100x250mm</t>
  </si>
  <si>
    <t>" Vstup zásobování prodejen " (0,48*2)</t>
  </si>
  <si>
    <t>79099938R</t>
  </si>
  <si>
    <t>D+M Okenní sušák na prádlo š 1500mm - Specifikace dle Výpis ostatních prvků – 38a</t>
  </si>
  <si>
    <t>" Uchyceno na rám okna, včetně kotvících prvků, veškerého příslušenství a příslušenství dle PD. Včetně začištění míst po demontáži. "</t>
  </si>
  <si>
    <t>Požadavek objednatele - Označení stavby (D+M osazení informační tabule s uvedením názvu stavby, investora stavby, zhotovitele stavby, uvedením termínu a realizace stavby, uvedení kontaktu na odpovědného stavbyvedoucího)</t>
  </si>
  <si>
    <t>Zhotovitel zajistí fotodokumentaci původního a nového stavu</t>
  </si>
  <si>
    <t>Povinná rezerva na nepředvídatelné konstrukce a práce - pevná částka stejná pro všechny uchazeče 1.000.000,-Kč</t>
  </si>
  <si>
    <t>Dodání dokladů nutných pro kolaudační řízení a užívání stavby (revize, certifikáty, atesrty, návody k použití, ….)</t>
  </si>
  <si>
    <t>Ostatní náklady spojené s požadavky objednatele, které jsou uvedeny v jednotlivých článcích smlouvy o dílo, pokud nejsou zahrnuty v soupisech prací</t>
  </si>
  <si>
    <t>Vytyčení stávajících sítí</t>
  </si>
  <si>
    <t>Zařízení staveniště (přechodné dopravní značení, zajištění objízdných tras a uzávěr včetně příslušných povolení, ZS sociální objekty, včetně vnitrostaveništního rozvodu a napojení na media energii, zajištění informační tabule stavby, včetně nákladů</t>
  </si>
  <si>
    <t>Sestava vysokonapěťového vodiče 150kA v podpůrné trubce GKF/Al s jímací tyčí l=2,5m, celková délka 7200mm (výška nad střechou 5,0m), vodič D23mm, SET, vysokonapěťový vodič 150kA v celkové délce 28m, šedý plášť, podpůrná trubka Al kotvena do stávajícího dřevěného krovu pomocí 2ks úchytů na prům. trubky 50mm</t>
  </si>
  <si>
    <t>Vysokonapěťový propojovací vodič 150kA pro snížení dostatečné vzdálenosti, průměr vodiče 23mm, šedý plášť, celková délka 22m + 2x připojovací prvek pro zakončení vodiče na destičku jímače JT50</t>
  </si>
  <si>
    <t xml:space="preserve">Sestava vysokonapěťového vodiče 150kA v podpůrné trubce GKF/Al s jímací tyčí l=2,5m, celková délka 7200mm (výška nad střechou 5,0m), vodič D23mm, SET, vysokonapěťový vodič 150kA v celkové délce 28m, šedý plášť, podpůrná trubka Al kotvena do stávajícího dřevěného krovu pomocí 2ks úchytů na prům. trubky 50mm + montáž podpěr na vodič prům. 23mm </t>
  </si>
  <si>
    <t>Vysokonapěťový propojovací vodič 150kA pro snížení dostatečné vzdálenosti, průměr vodiče 23mm, šedý plášť, celková délka 22m + 2x připojovací prvek pro zakončení vodiče na destičku jímače JT50 + montáž podpěr na vodič prům. 23mm</t>
  </si>
  <si>
    <t>721991p.c.</t>
  </si>
  <si>
    <t>Napojení na stávající ležatou kanalizaci</t>
  </si>
  <si>
    <t>-833671927</t>
  </si>
  <si>
    <t>OPRAVA STŘECHY A ZATEPLENÍ</t>
  </si>
  <si>
    <t>1.1.H Způsobilé náklady - Stavební rozpočet</t>
  </si>
  <si>
    <t>1.1.M Způsobilé náklady - Stavební rozpočet</t>
  </si>
  <si>
    <t>1.2.H Způsobilé náklady - Elektroinstalace</t>
  </si>
  <si>
    <t>1.2.M Způsobilé náklady - Elektroinstalace</t>
  </si>
  <si>
    <t>1.3.H Způsobilé náklady - LPS</t>
  </si>
  <si>
    <t>1.3.M Způsobilé náklady - LPS</t>
  </si>
  <si>
    <t>2.4.H Nezpůsobilé náklady - Elektroinstalace</t>
  </si>
  <si>
    <t>2.1.H Nezpůsobilé náklady - Stavební rozpočet</t>
  </si>
  <si>
    <t>2.1.M Nezpůsobilé náklady - Stavební rozpočet</t>
  </si>
  <si>
    <t>2.2.H Nezpůsobilé náklady - Zdravotechnika</t>
  </si>
  <si>
    <t>2.2.M Nezpůsobilé náklady - Zdravotechnika</t>
  </si>
  <si>
    <t>2.3.H Nezpůsobilé náklady - SAT-TV</t>
  </si>
  <si>
    <t>2.3.M Nezpůsobilé náklady - SAT-TV</t>
  </si>
  <si>
    <t xml:space="preserve">Velkoplošný panel (billboard) plastová textilní folie - rozměr bude upřesněn, označení stavby osazení vúzemí a ukotvení proti možnému vandalismu - grafické zpracování dle pokynů investora a poskytovatele dotace
</t>
  </si>
  <si>
    <t>" Včetně provedení veškerých detailů a ostění "</t>
  </si>
  <si>
    <t>" V ceně položky očištění podkladu před provedením systémové skladby. Včetně veškerých systémových a kotvících prvků a příslušenství. Včetně provedení veškerých detailů. "</t>
  </si>
  <si>
    <t xml:space="preserve">D+M osazení stálá vysvětlující tabulka (pamětní deska) - materiál pokovený plast s výrazným písmem, 400x300mm, umístění a grafické provedení dle pokynu investora a poskytovatele dotace
</t>
  </si>
  <si>
    <t>Výkaz výměr</t>
  </si>
  <si>
    <t>VÝKAZ VÝMĚR</t>
  </si>
  <si>
    <t>" V ceně položky očištění podkladu před provedením systémové skladby. Včetně veškerých systémových a kotvících prvků a příslušenství. Včetně provedení veškerých detailů (ostění a ostatní). "</t>
  </si>
  <si>
    <t>" Omítka  - 2NP-4NP " ((75+17,3+28,5)*8,7)-76*2,7-12*5,5</t>
  </si>
  <si>
    <t>" Omítka štítová stěna  " (15,1*9,1)-2,7-2*3,9</t>
  </si>
  <si>
    <t>" Omítka obvodová stěna půdních vestaveb, včetně vikýřů " (2*7,4+15,2)*1+2,7*(7,2+7,4)+8*6</t>
  </si>
  <si>
    <t>" Jádrová omítka dvorní část , včetně průjezdu " (21,7*19+118,8*13,4)-23*3,9-59*2,7+(12,5*3,1)*2</t>
  </si>
  <si>
    <t>" Doplnění omítky soklová část " 0,15*(75+17,3+26,1)</t>
  </si>
  <si>
    <t>" Postřik dvorní část, včetně průjezdu " (21,7*19+118,8*13,4)-23*3,9-59*2,7+(12,5*3,1)*2</t>
  </si>
  <si>
    <t>" Doplnění omítky parter, včetně barevných retuší " ((3,5*(75+17,3+26,1))-22*9-5,8-10,5)*0,3</t>
  </si>
  <si>
    <t>" Oprava lokálních poruch omítky uliční fasáda  - 1NP " ((4*26,1)-2,7)*0,3</t>
  </si>
  <si>
    <t>" Injektáž prasklin poškozených části teraca parter" ((3,5*(75+17,3+26,1))-22*9-5,8-10,5)*0,4</t>
  </si>
  <si>
    <t>" Očištění parteru uliční části fasády" (3,5*(75+17,3+26,1))-22*9-5,8-10,5</t>
  </si>
  <si>
    <t>" Uliční fasáda" (4*26,1)-2,7</t>
  </si>
  <si>
    <t xml:space="preserve">" V ceně položky očištění podkladu před provedením systémové skladby. Včetně veškerých systémových a kotvících prvků a příslušenství. Včetně provedení veškerých detailů (ostění a ostatní). </t>
  </si>
  <si>
    <t>" Dvorní část, včetně průjezdu " (21,7*19+118,8*13,4)-23*3,9-59*2,7+(12,5*3,1)*2-323,3</t>
  </si>
  <si>
    <t>" 2NP-4NP " ((75+17,3+28,5)*8,7)-76*2,7-12*5,5</t>
  </si>
  <si>
    <t>" Dvorní část, včetně průjezdu " (21,7+118,8)*2,7-13*2,7-7*3</t>
  </si>
  <si>
    <t>" Demontáž laťování" (15,8*75,5+9,7*26,9+7,7*17,7)-(3,2*5,8+4*(3,7*4,5))</t>
  </si>
  <si>
    <t>" Demontáž krytiny" (15,8*75,5+9,7*26,9+7,7*17,7)-(3,2*5,8+4*(3,7*4,5))</t>
  </si>
  <si>
    <t>(15,8*75,5+9,7*26,9+7,7*17,7)-(3,2*5,8+4*(3,7*4,5))</t>
  </si>
  <si>
    <t>" Hydrofobní / antigrafitti ochranná vrstva parter " (3,5*(75+17,3+26,1))-22*9-5,8-10,5</t>
  </si>
  <si>
    <t>" Penetrace parter" (3,5*(75+17,3+26,1))-22*9-5,8-10,5</t>
  </si>
  <si>
    <t>" Penetrace - 2NP-4NP " ((75+17,3+28,5)*8,7)-76*2,7-12*5,5</t>
  </si>
  <si>
    <t>" Hydrofobní / antigrafitti ochranná vrstva parter" (3,5*(75+17,3+26,1))-22*9-5,8-10,5</t>
  </si>
  <si>
    <t>Statutární město Opava, Horní náměstí 69, Opava 746 01</t>
  </si>
  <si>
    <t>Datum: 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</si>
</sst>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405]d/m/yyyy"/>
    <numFmt numFmtId="165" formatCode="0.0%"/>
    <numFmt numFmtId="166" formatCode="[$-405]#,##0\ _K_č;\-#,##0\ _K_č"/>
    <numFmt numFmtId="167" formatCode="#,##0.000;\-#,##0.000"/>
    <numFmt numFmtId="168" formatCode="[$-405]#,##0.00\ _K_č;\-#,##0.00\ _K_č"/>
    <numFmt numFmtId="169" formatCode="#,##0.00000"/>
    <numFmt numFmtId="170" formatCode="#,##0.000"/>
    <numFmt numFmtId="171" formatCode="0.00\ %"/>
  </numFmts>
  <fonts count="43">
    <font>
      <sz val="11"/>
      <color rgb="FF000000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 CE"/>
      <family val="2"/>
    </font>
    <font>
      <sz val="8"/>
      <name val="Arial CE"/>
      <family val="2"/>
    </font>
    <font>
      <sz val="8"/>
      <name val="MS Sans Serif"/>
      <family val="2"/>
    </font>
    <font>
      <sz val="8"/>
      <name val="Trebuchet MS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8"/>
      <color rgb="FFFFFFFF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7"/>
      <name val="Arial CE"/>
      <family val="2"/>
    </font>
    <font>
      <sz val="11"/>
      <color rgb="FF000000"/>
      <name val="Arial CE"/>
      <family val="2"/>
    </font>
    <font>
      <sz val="8"/>
      <color rgb="FF0000FF"/>
      <name val="Arial CE"/>
      <family val="2"/>
    </font>
    <font>
      <i/>
      <sz val="8"/>
      <name val="Arial CE"/>
      <family val="2"/>
    </font>
    <font>
      <i/>
      <sz val="11"/>
      <color rgb="FF000000"/>
      <name val="Arial CE"/>
      <family val="2"/>
    </font>
    <font>
      <sz val="8"/>
      <color rgb="FF000080"/>
      <name val="Arial CE"/>
      <family val="2"/>
    </font>
    <font>
      <sz val="8"/>
      <color rgb="FF000080"/>
      <name val="Arial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10"/>
      <color rgb="FF000000"/>
      <name val="Arial"/>
      <family val="2"/>
    </font>
    <font>
      <b/>
      <sz val="10"/>
      <name val="Arial CE"/>
      <family val="2"/>
    </font>
    <font>
      <sz val="10"/>
      <color rgb="FFFF0000"/>
      <name val="Arial CE"/>
      <family val="2"/>
    </font>
    <font>
      <sz val="9"/>
      <color rgb="FFFF0000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 CE"/>
      <family val="2"/>
    </font>
  </fonts>
  <fills count="10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69696"/>
        <bgColor indexed="64"/>
      </patternFill>
    </fill>
  </fills>
  <borders count="5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/>
      <bottom style="hair"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Border="0" applyProtection="0">
      <alignment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 applyBorder="0" applyProtection="0">
      <alignment/>
    </xf>
    <xf numFmtId="0" fontId="1" fillId="0" borderId="0">
      <alignment/>
      <protection/>
    </xf>
  </cellStyleXfs>
  <cellXfs count="729">
    <xf numFmtId="0" fontId="0" fillId="0" borderId="0" xfId="0"/>
    <xf numFmtId="0" fontId="1" fillId="0" borderId="0" xfId="28" applyFont="1">
      <alignment/>
      <protection/>
    </xf>
    <xf numFmtId="0" fontId="1" fillId="0" borderId="0" xfId="28" applyFont="1" applyAlignment="1">
      <alignment/>
      <protection/>
    </xf>
    <xf numFmtId="0" fontId="7" fillId="0" borderId="0" xfId="28" applyFont="1">
      <alignment/>
      <protection/>
    </xf>
    <xf numFmtId="0" fontId="7" fillId="0" borderId="0" xfId="28" applyFont="1" applyAlignment="1">
      <alignment horizontal="center"/>
      <protection/>
    </xf>
    <xf numFmtId="0" fontId="3" fillId="0" borderId="0" xfId="28" applyAlignment="1">
      <alignment horizontal="center"/>
      <protection/>
    </xf>
    <xf numFmtId="0" fontId="8" fillId="0" borderId="0" xfId="28" applyFont="1" applyAlignment="1">
      <alignment horizontal="left"/>
      <protection/>
    </xf>
    <xf numFmtId="0" fontId="9" fillId="0" borderId="0" xfId="28" applyFont="1" applyAlignment="1">
      <alignment horizontal="left" vertical="center"/>
      <protection/>
    </xf>
    <xf numFmtId="0" fontId="3" fillId="0" borderId="0" xfId="29" applyAlignment="1">
      <alignment/>
      <protection/>
    </xf>
    <xf numFmtId="0" fontId="10" fillId="0" borderId="0" xfId="28" applyFont="1" applyAlignment="1">
      <alignment/>
      <protection/>
    </xf>
    <xf numFmtId="164" fontId="11" fillId="0" borderId="0" xfId="28" applyNumberFormat="1" applyFont="1" applyAlignment="1">
      <alignment horizontal="left"/>
      <protection/>
    </xf>
    <xf numFmtId="0" fontId="9" fillId="0" borderId="0" xfId="28" applyFont="1" applyAlignment="1">
      <alignment horizontal="left" vertical="top" wrapText="1"/>
      <protection/>
    </xf>
    <xf numFmtId="0" fontId="3" fillId="0" borderId="0" xfId="28" applyAlignment="1">
      <alignment vertical="top" wrapText="1"/>
      <protection/>
    </xf>
    <xf numFmtId="0" fontId="10" fillId="0" borderId="0" xfId="28" applyFont="1">
      <alignment/>
      <protection/>
    </xf>
    <xf numFmtId="0" fontId="10" fillId="0" borderId="0" xfId="28" applyFont="1" applyAlignment="1">
      <alignment horizontal="left" vertical="center"/>
      <protection/>
    </xf>
    <xf numFmtId="0" fontId="1" fillId="0" borderId="0" xfId="28" applyFont="1" applyAlignment="1">
      <alignment horizontal="left"/>
      <protection/>
    </xf>
    <xf numFmtId="0" fontId="1" fillId="0" borderId="0" xfId="28" applyFont="1" applyAlignment="1">
      <alignment horizontal="right"/>
      <protection/>
    </xf>
    <xf numFmtId="0" fontId="3" fillId="0" borderId="0" xfId="28" applyFont="1" applyAlignment="1">
      <alignment horizontal="left"/>
      <protection/>
    </xf>
    <xf numFmtId="0" fontId="1" fillId="0" borderId="0" xfId="28" applyFont="1" applyAlignment="1">
      <alignment horizontal="center"/>
      <protection/>
    </xf>
    <xf numFmtId="0" fontId="12" fillId="2" borderId="1" xfId="28" applyFont="1" applyFill="1" applyBorder="1" applyAlignment="1">
      <alignment wrapText="1"/>
      <protection/>
    </xf>
    <xf numFmtId="0" fontId="12" fillId="2" borderId="2" xfId="28" applyFont="1" applyFill="1" applyBorder="1" applyAlignment="1">
      <alignment wrapText="1"/>
      <protection/>
    </xf>
    <xf numFmtId="0" fontId="12" fillId="2" borderId="3" xfId="28" applyFont="1" applyFill="1" applyBorder="1" applyAlignment="1">
      <alignment wrapText="1"/>
      <protection/>
    </xf>
    <xf numFmtId="0" fontId="12" fillId="2" borderId="1" xfId="28" applyFont="1" applyFill="1" applyBorder="1" applyAlignment="1">
      <alignment horizontal="right" wrapText="1"/>
      <protection/>
    </xf>
    <xf numFmtId="0" fontId="1" fillId="2" borderId="2" xfId="28" applyFont="1" applyFill="1" applyBorder="1" applyAlignment="1">
      <alignment/>
      <protection/>
    </xf>
    <xf numFmtId="0" fontId="12" fillId="2" borderId="2" xfId="28" applyFont="1" applyFill="1" applyBorder="1" applyAlignment="1">
      <alignment horizontal="right" wrapText="1"/>
      <protection/>
    </xf>
    <xf numFmtId="0" fontId="10" fillId="2" borderId="3" xfId="28" applyFont="1" applyFill="1" applyBorder="1" applyAlignment="1">
      <alignment horizontal="right"/>
      <protection/>
    </xf>
    <xf numFmtId="0" fontId="12" fillId="3" borderId="0" xfId="28" applyFont="1" applyFill="1" applyBorder="1" applyAlignment="1">
      <alignment horizontal="right" wrapText="1"/>
      <protection/>
    </xf>
    <xf numFmtId="0" fontId="1" fillId="0" borderId="4" xfId="28" applyFont="1" applyBorder="1" applyAlignment="1">
      <alignment vertical="center"/>
      <protection/>
    </xf>
    <xf numFmtId="0" fontId="1" fillId="0" borderId="0" xfId="28" applyFont="1" applyBorder="1" applyAlignment="1">
      <alignment vertical="center"/>
      <protection/>
    </xf>
    <xf numFmtId="1" fontId="1" fillId="0" borderId="0" xfId="28" applyNumberFormat="1" applyFont="1" applyBorder="1" applyAlignment="1">
      <alignment horizontal="right" vertical="center"/>
      <protection/>
    </xf>
    <xf numFmtId="0" fontId="1" fillId="0" borderId="5" xfId="28" applyFont="1" applyBorder="1" applyAlignment="1">
      <alignment vertical="center"/>
      <protection/>
    </xf>
    <xf numFmtId="4" fontId="1" fillId="0" borderId="6" xfId="28" applyNumberFormat="1" applyFont="1" applyBorder="1" applyAlignment="1">
      <alignment horizontal="right" vertical="center"/>
      <protection/>
    </xf>
    <xf numFmtId="4" fontId="1" fillId="0" borderId="7" xfId="28" applyNumberFormat="1" applyFont="1" applyBorder="1" applyAlignment="1">
      <alignment horizontal="right" vertical="center"/>
      <protection/>
    </xf>
    <xf numFmtId="4" fontId="1" fillId="0" borderId="8" xfId="28" applyNumberFormat="1" applyFont="1" applyBorder="1" applyAlignment="1">
      <alignment horizontal="right" vertical="center"/>
      <protection/>
    </xf>
    <xf numFmtId="4" fontId="1" fillId="3" borderId="0" xfId="28" applyNumberFormat="1" applyFont="1" applyFill="1" applyBorder="1" applyAlignment="1">
      <alignment vertical="center"/>
      <protection/>
    </xf>
    <xf numFmtId="4" fontId="1" fillId="0" borderId="4" xfId="28" applyNumberFormat="1" applyFont="1" applyBorder="1" applyAlignment="1">
      <alignment horizontal="right" vertical="center"/>
      <protection/>
    </xf>
    <xf numFmtId="4" fontId="1" fillId="0" borderId="0" xfId="28" applyNumberFormat="1" applyFont="1" applyBorder="1" applyAlignment="1">
      <alignment horizontal="right" vertical="center"/>
      <protection/>
    </xf>
    <xf numFmtId="4" fontId="1" fillId="0" borderId="5" xfId="28" applyNumberFormat="1" applyFont="1" applyBorder="1" applyAlignment="1">
      <alignment horizontal="right" vertical="center"/>
      <protection/>
    </xf>
    <xf numFmtId="4" fontId="1" fillId="0" borderId="9" xfId="28" applyNumberFormat="1" applyFont="1" applyBorder="1" applyAlignment="1">
      <alignment horizontal="right" vertical="center"/>
      <protection/>
    </xf>
    <xf numFmtId="4" fontId="1" fillId="0" borderId="10" xfId="28" applyNumberFormat="1" applyFont="1" applyBorder="1" applyAlignment="1">
      <alignment horizontal="right" vertical="center"/>
      <protection/>
    </xf>
    <xf numFmtId="4" fontId="1" fillId="0" borderId="11" xfId="28" applyNumberFormat="1" applyFont="1" applyBorder="1" applyAlignment="1">
      <alignment horizontal="right" vertical="center"/>
      <protection/>
    </xf>
    <xf numFmtId="4" fontId="10" fillId="3" borderId="0" xfId="28" applyNumberFormat="1" applyFont="1" applyFill="1" applyBorder="1" applyAlignment="1">
      <alignment vertical="center"/>
      <protection/>
    </xf>
    <xf numFmtId="3" fontId="1" fillId="0" borderId="0" xfId="28" applyNumberFormat="1" applyFont="1">
      <alignment/>
      <protection/>
    </xf>
    <xf numFmtId="0" fontId="9" fillId="0" borderId="0" xfId="28" applyFont="1" applyAlignment="1">
      <alignment horizontal="left"/>
      <protection/>
    </xf>
    <xf numFmtId="4" fontId="1" fillId="0" borderId="0" xfId="28" applyNumberFormat="1" applyFont="1">
      <alignment/>
      <protection/>
    </xf>
    <xf numFmtId="0" fontId="12" fillId="2" borderId="1" xfId="28" applyFont="1" applyFill="1" applyBorder="1" applyAlignment="1">
      <alignment vertical="center"/>
      <protection/>
    </xf>
    <xf numFmtId="0" fontId="10" fillId="2" borderId="2" xfId="28" applyFont="1" applyFill="1" applyBorder="1" applyAlignment="1">
      <alignment vertical="center"/>
      <protection/>
    </xf>
    <xf numFmtId="0" fontId="10" fillId="2" borderId="3" xfId="28" applyFont="1" applyFill="1" applyBorder="1" applyAlignment="1">
      <alignment vertical="center" wrapText="1"/>
      <protection/>
    </xf>
    <xf numFmtId="0" fontId="10" fillId="2" borderId="12" xfId="28" applyFont="1" applyFill="1" applyBorder="1" applyAlignment="1">
      <alignment horizontal="center" vertical="center" wrapText="1"/>
      <protection/>
    </xf>
    <xf numFmtId="0" fontId="10" fillId="2" borderId="3" xfId="28" applyFont="1" applyFill="1" applyBorder="1" applyAlignment="1">
      <alignment horizontal="center" vertical="center" wrapText="1"/>
      <protection/>
    </xf>
    <xf numFmtId="49" fontId="13" fillId="0" borderId="4" xfId="28" applyNumberFormat="1" applyFont="1" applyBorder="1" applyAlignment="1">
      <alignment horizontal="left"/>
      <protection/>
    </xf>
    <xf numFmtId="0" fontId="11" fillId="0" borderId="0" xfId="28" applyFont="1" applyBorder="1" applyAlignment="1">
      <alignment horizontal="left"/>
      <protection/>
    </xf>
    <xf numFmtId="0" fontId="11" fillId="0" borderId="0" xfId="28" applyFont="1" applyBorder="1">
      <alignment/>
      <protection/>
    </xf>
    <xf numFmtId="3" fontId="12" fillId="0" borderId="13" xfId="28" applyNumberFormat="1" applyFont="1" applyBorder="1" applyAlignment="1">
      <alignment horizontal="right"/>
      <protection/>
    </xf>
    <xf numFmtId="3" fontId="11" fillId="0" borderId="13" xfId="28" applyNumberFormat="1" applyFont="1" applyBorder="1" applyAlignment="1">
      <alignment horizontal="right"/>
      <protection/>
    </xf>
    <xf numFmtId="3" fontId="11" fillId="0" borderId="5" xfId="28" applyNumberFormat="1" applyFont="1" applyBorder="1" applyAlignment="1">
      <alignment horizontal="right"/>
      <protection/>
    </xf>
    <xf numFmtId="3" fontId="1" fillId="3" borderId="0" xfId="28" applyNumberFormat="1" applyFont="1" applyFill="1">
      <alignment/>
      <protection/>
    </xf>
    <xf numFmtId="49" fontId="11" fillId="0" borderId="14" xfId="28" applyNumberFormat="1" applyFont="1" applyBorder="1" applyAlignment="1">
      <alignment horizontal="left"/>
      <protection/>
    </xf>
    <xf numFmtId="3" fontId="11" fillId="3" borderId="15" xfId="28" applyNumberFormat="1" applyFont="1" applyFill="1" applyBorder="1" applyAlignment="1">
      <alignment horizontal="right"/>
      <protection/>
    </xf>
    <xf numFmtId="3" fontId="11" fillId="0" borderId="15" xfId="28" applyNumberFormat="1" applyFont="1" applyBorder="1" applyAlignment="1">
      <alignment horizontal="right"/>
      <protection/>
    </xf>
    <xf numFmtId="3" fontId="11" fillId="3" borderId="16" xfId="28" applyNumberFormat="1" applyFont="1" applyFill="1" applyBorder="1" applyAlignment="1">
      <alignment horizontal="right"/>
      <protection/>
    </xf>
    <xf numFmtId="0" fontId="1" fillId="3" borderId="0" xfId="28" applyFont="1" applyFill="1">
      <alignment/>
      <protection/>
    </xf>
    <xf numFmtId="0" fontId="1" fillId="0" borderId="0" xfId="28" applyFont="1">
      <alignment/>
      <protection/>
    </xf>
    <xf numFmtId="0" fontId="12" fillId="0" borderId="0" xfId="28" applyFont="1" applyBorder="1" applyAlignment="1">
      <alignment vertical="center"/>
      <protection/>
    </xf>
    <xf numFmtId="49" fontId="12" fillId="0" borderId="0" xfId="28" applyNumberFormat="1" applyFont="1" applyBorder="1" applyAlignment="1">
      <alignment horizontal="left" vertical="center"/>
      <protection/>
    </xf>
    <xf numFmtId="165" fontId="11" fillId="0" borderId="0" xfId="28" applyNumberFormat="1" applyFont="1" applyBorder="1">
      <alignment/>
      <protection/>
    </xf>
    <xf numFmtId="3" fontId="12" fillId="0" borderId="0" xfId="28" applyNumberFormat="1" applyFont="1" applyBorder="1" applyAlignment="1">
      <alignment horizontal="right" vertical="center"/>
      <protection/>
    </xf>
    <xf numFmtId="0" fontId="14" fillId="0" borderId="0" xfId="29" applyFont="1" applyBorder="1">
      <alignment/>
      <protection/>
    </xf>
    <xf numFmtId="0" fontId="14" fillId="0" borderId="0" xfId="37" applyFont="1" applyBorder="1">
      <alignment/>
      <protection/>
    </xf>
    <xf numFmtId="4" fontId="14" fillId="0" borderId="0" xfId="37" applyNumberFormat="1" applyFont="1" applyBorder="1">
      <alignment/>
      <protection/>
    </xf>
    <xf numFmtId="0" fontId="14" fillId="0" borderId="0" xfId="37" applyFont="1">
      <alignment/>
      <protection/>
    </xf>
    <xf numFmtId="0" fontId="15" fillId="0" borderId="0" xfId="37" applyFont="1" applyAlignment="1">
      <alignment wrapText="1"/>
      <protection/>
    </xf>
    <xf numFmtId="0" fontId="15" fillId="0" borderId="0" xfId="37" applyFont="1">
      <alignment/>
      <protection/>
    </xf>
    <xf numFmtId="0" fontId="14" fillId="0" borderId="0" xfId="37" applyFont="1" applyAlignment="1">
      <alignment wrapText="1"/>
      <protection/>
    </xf>
    <xf numFmtId="0" fontId="16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25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9" fillId="0" borderId="0" xfId="25" applyFont="1" applyAlignment="1" applyProtection="1">
      <alignment horizontal="left"/>
      <protection/>
    </xf>
    <xf numFmtId="0" fontId="4" fillId="0" borderId="0" xfId="25" applyFont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right"/>
      <protection/>
    </xf>
    <xf numFmtId="0" fontId="14" fillId="0" borderId="0" xfId="36" applyFont="1" applyAlignment="1" applyProtection="1">
      <alignment vertical="center"/>
      <protection/>
    </xf>
    <xf numFmtId="0" fontId="0" fillId="0" borderId="0" xfId="0"/>
    <xf numFmtId="0" fontId="0" fillId="0" borderId="0" xfId="0" applyAlignment="1">
      <alignment horizontal="right"/>
    </xf>
    <xf numFmtId="0" fontId="17" fillId="0" borderId="0" xfId="0" applyFont="1" applyAlignment="1" applyProtection="1">
      <alignment horizontal="right"/>
      <protection/>
    </xf>
    <xf numFmtId="0" fontId="14" fillId="0" borderId="12" xfId="0" applyFont="1" applyBorder="1" applyAlignment="1" applyProtection="1">
      <alignment horizont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right" wrapText="1"/>
      <protection/>
    </xf>
    <xf numFmtId="166" fontId="18" fillId="0" borderId="17" xfId="0" applyNumberFormat="1" applyFont="1" applyBorder="1" applyAlignment="1" applyProtection="1">
      <alignment horizontal="center"/>
      <protection/>
    </xf>
    <xf numFmtId="0" fontId="18" fillId="0" borderId="17" xfId="0" applyFont="1" applyBorder="1" applyAlignment="1" applyProtection="1">
      <alignment horizontal="left" wrapText="1"/>
      <protection/>
    </xf>
    <xf numFmtId="167" fontId="18" fillId="0" borderId="17" xfId="0" applyNumberFormat="1" applyFont="1" applyBorder="1" applyAlignment="1" applyProtection="1">
      <alignment horizontal="right"/>
      <protection/>
    </xf>
    <xf numFmtId="168" fontId="18" fillId="0" borderId="17" xfId="0" applyNumberFormat="1" applyFont="1" applyBorder="1" applyAlignment="1" applyProtection="1">
      <alignment horizontal="right"/>
      <protection/>
    </xf>
    <xf numFmtId="166" fontId="18" fillId="0" borderId="15" xfId="0" applyNumberFormat="1" applyFont="1" applyBorder="1" applyAlignment="1" applyProtection="1">
      <alignment horizontal="center"/>
      <protection/>
    </xf>
    <xf numFmtId="0" fontId="18" fillId="0" borderId="15" xfId="0" applyFont="1" applyBorder="1" applyAlignment="1" applyProtection="1">
      <alignment horizontal="left" wrapText="1"/>
      <protection/>
    </xf>
    <xf numFmtId="2" fontId="18" fillId="0" borderId="15" xfId="0" applyNumberFormat="1" applyFont="1" applyBorder="1" applyAlignment="1" applyProtection="1">
      <alignment horizontal="right"/>
      <protection/>
    </xf>
    <xf numFmtId="168" fontId="18" fillId="0" borderId="15" xfId="0" applyNumberFormat="1" applyFont="1" applyBorder="1" applyAlignment="1" applyProtection="1">
      <alignment horizontal="right"/>
      <protection/>
    </xf>
    <xf numFmtId="166" fontId="4" fillId="0" borderId="15" xfId="0" applyNumberFormat="1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left" wrapText="1"/>
      <protection/>
    </xf>
    <xf numFmtId="2" fontId="4" fillId="0" borderId="15" xfId="0" applyNumberFormat="1" applyFont="1" applyBorder="1" applyAlignment="1" applyProtection="1">
      <alignment horizontal="right"/>
      <protection/>
    </xf>
    <xf numFmtId="168" fontId="4" fillId="0" borderId="15" xfId="0" applyNumberFormat="1" applyFont="1" applyBorder="1" applyAlignment="1" applyProtection="1">
      <alignment horizontal="right"/>
      <protection/>
    </xf>
    <xf numFmtId="0" fontId="20" fillId="0" borderId="0" xfId="0" applyFont="1" applyAlignment="1" applyProtection="1">
      <alignment horizontal="left" vertical="top"/>
      <protection locked="0"/>
    </xf>
    <xf numFmtId="0" fontId="21" fillId="0" borderId="15" xfId="0" applyFont="1" applyBorder="1" applyAlignment="1" applyProtection="1">
      <alignment horizontal="left" wrapText="1"/>
      <protection/>
    </xf>
    <xf numFmtId="2" fontId="21" fillId="0" borderId="15" xfId="0" applyNumberFormat="1" applyFont="1" applyBorder="1" applyAlignment="1" applyProtection="1">
      <alignment horizontal="right"/>
      <protection/>
    </xf>
    <xf numFmtId="0" fontId="20" fillId="0" borderId="0" xfId="0" applyFont="1"/>
    <xf numFmtId="166" fontId="22" fillId="0" borderId="15" xfId="0" applyNumberFormat="1" applyFont="1" applyBorder="1" applyAlignment="1" applyProtection="1">
      <alignment horizontal="center"/>
      <protection/>
    </xf>
    <xf numFmtId="0" fontId="22" fillId="0" borderId="15" xfId="0" applyFont="1" applyBorder="1" applyAlignment="1" applyProtection="1">
      <alignment horizontal="left" wrapText="1"/>
      <protection/>
    </xf>
    <xf numFmtId="2" fontId="22" fillId="0" borderId="15" xfId="0" applyNumberFormat="1" applyFont="1" applyBorder="1" applyAlignment="1" applyProtection="1">
      <alignment horizontal="right"/>
      <protection/>
    </xf>
    <xf numFmtId="168" fontId="22" fillId="0" borderId="15" xfId="0" applyNumberFormat="1" applyFont="1" applyBorder="1" applyAlignment="1" applyProtection="1">
      <alignment horizontal="right"/>
      <protection/>
    </xf>
    <xf numFmtId="0" fontId="23" fillId="0" borderId="0" xfId="0" applyFont="1" applyAlignment="1" applyProtection="1">
      <alignment horizontal="left" vertical="top"/>
      <protection locked="0"/>
    </xf>
    <xf numFmtId="49" fontId="4" fillId="0" borderId="15" xfId="0" applyNumberFormat="1" applyFont="1" applyBorder="1" applyAlignment="1" applyProtection="1">
      <alignment horizontal="left" wrapText="1"/>
      <protection/>
    </xf>
    <xf numFmtId="166" fontId="21" fillId="0" borderId="15" xfId="0" applyNumberFormat="1" applyFont="1" applyBorder="1" applyAlignment="1" applyProtection="1">
      <alignment horizontal="center"/>
      <protection/>
    </xf>
    <xf numFmtId="2" fontId="21" fillId="0" borderId="15" xfId="0" applyNumberFormat="1" applyFont="1" applyBorder="1" applyAlignment="1" applyProtection="1">
      <alignment horizontal="right" wrapText="1"/>
      <protection/>
    </xf>
    <xf numFmtId="168" fontId="21" fillId="0" borderId="15" xfId="0" applyNumberFormat="1" applyFont="1" applyBorder="1" applyAlignment="1" applyProtection="1">
      <alignment horizontal="right"/>
      <protection/>
    </xf>
    <xf numFmtId="0" fontId="20" fillId="0" borderId="0" xfId="0" applyFont="1"/>
    <xf numFmtId="49" fontId="22" fillId="0" borderId="15" xfId="0" applyNumberFormat="1" applyFont="1" applyBorder="1" applyAlignment="1" applyProtection="1">
      <alignment horizontal="left" wrapText="1"/>
      <protection/>
    </xf>
    <xf numFmtId="0" fontId="23" fillId="0" borderId="0" xfId="0" applyFont="1"/>
    <xf numFmtId="0" fontId="0" fillId="0" borderId="0" xfId="27">
      <alignment/>
      <protection/>
    </xf>
    <xf numFmtId="0" fontId="20" fillId="0" borderId="0" xfId="0" applyFont="1" applyAlignment="1" applyProtection="1">
      <alignment vertical="top"/>
      <protection locked="0"/>
    </xf>
    <xf numFmtId="49" fontId="4" fillId="0" borderId="15" xfId="0" applyNumberFormat="1" applyFont="1" applyBorder="1" applyAlignment="1" applyProtection="1">
      <alignment horizontal="right" wrapText="1"/>
      <protection/>
    </xf>
    <xf numFmtId="0" fontId="24" fillId="0" borderId="15" xfId="0" applyFont="1" applyBorder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 locked="0"/>
    </xf>
    <xf numFmtId="49" fontId="4" fillId="0" borderId="15" xfId="0" applyNumberFormat="1" applyFont="1" applyBorder="1" applyAlignment="1" applyProtection="1">
      <alignment horizontal="center" wrapText="1"/>
      <protection/>
    </xf>
    <xf numFmtId="0" fontId="20" fillId="0" borderId="0" xfId="0" applyFont="1" applyAlignment="1" applyProtection="1">
      <alignment horizontal="left" vertical="top"/>
      <protection locked="0"/>
    </xf>
    <xf numFmtId="166" fontId="18" fillId="0" borderId="17" xfId="0" applyNumberFormat="1" applyFont="1" applyBorder="1" applyAlignment="1" applyProtection="1">
      <alignment horizontal="right"/>
      <protection/>
    </xf>
    <xf numFmtId="166" fontId="4" fillId="0" borderId="15" xfId="0" applyNumberFormat="1" applyFont="1" applyBorder="1" applyAlignment="1" applyProtection="1">
      <alignment horizontal="right"/>
      <protection/>
    </xf>
    <xf numFmtId="49" fontId="14" fillId="0" borderId="0" xfId="0" applyNumberFormat="1" applyFont="1" applyBorder="1" applyAlignment="1" applyProtection="1">
      <alignment horizontal="right" wrapText="1"/>
      <protection/>
    </xf>
    <xf numFmtId="0" fontId="14" fillId="0" borderId="0" xfId="0" applyFont="1" applyBorder="1" applyAlignment="1" applyProtection="1">
      <alignment horizontal="left" wrapText="1"/>
      <protection/>
    </xf>
    <xf numFmtId="2" fontId="14" fillId="0" borderId="0" xfId="0" applyNumberFormat="1" applyFont="1" applyBorder="1" applyAlignment="1" applyProtection="1">
      <alignment horizontal="right"/>
      <protection/>
    </xf>
    <xf numFmtId="168" fontId="14" fillId="0" borderId="0" xfId="0" applyNumberFormat="1" applyFont="1" applyBorder="1" applyAlignment="1" applyProtection="1">
      <alignment horizontal="right"/>
      <protection/>
    </xf>
    <xf numFmtId="0" fontId="18" fillId="0" borderId="1" xfId="0" applyFont="1" applyBorder="1" applyAlignment="1" applyProtection="1">
      <alignment horizontal="left"/>
      <protection/>
    </xf>
    <xf numFmtId="0" fontId="25" fillId="0" borderId="2" xfId="0" applyFont="1" applyBorder="1" applyAlignment="1" applyProtection="1">
      <alignment horizontal="center"/>
      <protection/>
    </xf>
    <xf numFmtId="167" fontId="25" fillId="0" borderId="2" xfId="0" applyNumberFormat="1" applyFont="1" applyBorder="1" applyAlignment="1" applyProtection="1">
      <alignment horizontal="right"/>
      <protection/>
    </xf>
    <xf numFmtId="168" fontId="25" fillId="0" borderId="2" xfId="0" applyNumberFormat="1" applyFont="1" applyBorder="1" applyAlignment="1" applyProtection="1">
      <alignment horizontal="right"/>
      <protection/>
    </xf>
    <xf numFmtId="168" fontId="18" fillId="0" borderId="12" xfId="0" applyNumberFormat="1" applyFont="1" applyBorder="1" applyAlignment="1" applyProtection="1">
      <alignment horizontal="right"/>
      <protection/>
    </xf>
    <xf numFmtId="166" fontId="25" fillId="0" borderId="0" xfId="0" applyNumberFormat="1" applyFont="1" applyBorder="1" applyAlignment="1" applyProtection="1">
      <alignment horizontal="right"/>
      <protection/>
    </xf>
    <xf numFmtId="0" fontId="25" fillId="0" borderId="0" xfId="0" applyFont="1" applyBorder="1" applyAlignment="1" applyProtection="1">
      <alignment horizontal="left" wrapText="1"/>
      <protection/>
    </xf>
    <xf numFmtId="0" fontId="25" fillId="0" borderId="0" xfId="0" applyFont="1" applyBorder="1" applyAlignment="1" applyProtection="1">
      <alignment horizontal="center" wrapText="1"/>
      <protection/>
    </xf>
    <xf numFmtId="167" fontId="25" fillId="0" borderId="0" xfId="0" applyNumberFormat="1" applyFont="1" applyBorder="1" applyAlignment="1" applyProtection="1">
      <alignment horizontal="right"/>
      <protection/>
    </xf>
    <xf numFmtId="168" fontId="25" fillId="0" borderId="0" xfId="0" applyNumberFormat="1" applyFont="1" applyBorder="1" applyAlignment="1" applyProtection="1">
      <alignment horizontal="right"/>
      <protection/>
    </xf>
    <xf numFmtId="0" fontId="14" fillId="0" borderId="0" xfId="36" applyFont="1" applyAlignment="1" applyProtection="1">
      <alignment horizontal="right"/>
      <protection/>
    </xf>
    <xf numFmtId="0" fontId="4" fillId="0" borderId="0" xfId="24">
      <alignment/>
      <protection/>
    </xf>
    <xf numFmtId="0" fontId="4" fillId="0" borderId="0" xfId="24" applyFont="1" applyAlignment="1">
      <alignment horizontal="center" vertical="center" wrapText="1"/>
      <protection/>
    </xf>
    <xf numFmtId="0" fontId="4" fillId="0" borderId="4" xfId="24" applyFont="1" applyBorder="1" applyAlignment="1">
      <alignment horizontal="center" vertical="center" wrapText="1"/>
      <protection/>
    </xf>
    <xf numFmtId="0" fontId="26" fillId="4" borderId="0" xfId="24" applyFont="1" applyFill="1" applyAlignment="1">
      <alignment horizontal="center" vertical="center" wrapText="1"/>
      <protection/>
    </xf>
    <xf numFmtId="0" fontId="27" fillId="0" borderId="18" xfId="24" applyFont="1" applyBorder="1" applyAlignment="1">
      <alignment horizontal="center" vertical="center" wrapText="1"/>
      <protection/>
    </xf>
    <xf numFmtId="0" fontId="27" fillId="0" borderId="19" xfId="24" applyFont="1" applyBorder="1" applyAlignment="1">
      <alignment horizontal="center" vertical="center" wrapText="1"/>
      <protection/>
    </xf>
    <xf numFmtId="0" fontId="27" fillId="0" borderId="20" xfId="24" applyFont="1" applyBorder="1" applyAlignment="1">
      <alignment horizontal="center" vertical="center" wrapText="1"/>
      <protection/>
    </xf>
    <xf numFmtId="0" fontId="4" fillId="0" borderId="0" xfId="24" applyFont="1" applyAlignment="1">
      <alignment vertical="center"/>
      <protection/>
    </xf>
    <xf numFmtId="0" fontId="4" fillId="0" borderId="4" xfId="24" applyFont="1" applyBorder="1" applyAlignment="1">
      <alignment vertical="center"/>
      <protection/>
    </xf>
    <xf numFmtId="0" fontId="4" fillId="0" borderId="21" xfId="24" applyFont="1" applyBorder="1" applyAlignment="1">
      <alignment vertical="center"/>
      <protection/>
    </xf>
    <xf numFmtId="0" fontId="4" fillId="0" borderId="22" xfId="24" applyFont="1" applyBorder="1" applyAlignment="1">
      <alignment vertical="center"/>
      <protection/>
    </xf>
    <xf numFmtId="169" fontId="29" fillId="0" borderId="22" xfId="24" applyNumberFormat="1" applyFont="1" applyBorder="1" applyAlignment="1">
      <alignment/>
      <protection/>
    </xf>
    <xf numFmtId="169" fontId="29" fillId="0" borderId="23" xfId="24" applyNumberFormat="1" applyFont="1" applyBorder="1" applyAlignment="1">
      <alignment/>
      <protection/>
    </xf>
    <xf numFmtId="0" fontId="4" fillId="0" borderId="0" xfId="24" applyFont="1" applyAlignment="1">
      <alignment horizontal="left" vertical="center"/>
      <protection/>
    </xf>
    <xf numFmtId="4" fontId="30" fillId="0" borderId="0" xfId="24" applyNumberFormat="1" applyFont="1" applyAlignment="1">
      <alignment vertical="center"/>
      <protection/>
    </xf>
    <xf numFmtId="0" fontId="31" fillId="0" borderId="0" xfId="24" applyFont="1" applyAlignment="1">
      <alignment/>
      <protection/>
    </xf>
    <xf numFmtId="0" fontId="31" fillId="0" borderId="4" xfId="24" applyFont="1" applyBorder="1" applyAlignment="1">
      <alignment/>
      <protection/>
    </xf>
    <xf numFmtId="0" fontId="31" fillId="0" borderId="0" xfId="24" applyFont="1" applyAlignment="1">
      <alignment horizontal="left"/>
      <protection/>
    </xf>
    <xf numFmtId="0" fontId="31" fillId="0" borderId="24" xfId="24" applyFont="1" applyBorder="1" applyAlignment="1">
      <alignment/>
      <protection/>
    </xf>
    <xf numFmtId="0" fontId="31" fillId="0" borderId="0" xfId="24" applyFont="1" applyBorder="1" applyAlignment="1">
      <alignment/>
      <protection/>
    </xf>
    <xf numFmtId="169" fontId="31" fillId="0" borderId="0" xfId="24" applyNumberFormat="1" applyFont="1" applyBorder="1" applyAlignment="1">
      <alignment/>
      <protection/>
    </xf>
    <xf numFmtId="169" fontId="31" fillId="0" borderId="25" xfId="24" applyNumberFormat="1" applyFont="1" applyBorder="1" applyAlignment="1">
      <alignment/>
      <protection/>
    </xf>
    <xf numFmtId="0" fontId="31" fillId="0" borderId="0" xfId="24" applyFont="1" applyAlignment="1">
      <alignment horizontal="center"/>
      <protection/>
    </xf>
    <xf numFmtId="4" fontId="31" fillId="0" borderId="0" xfId="24" applyNumberFormat="1" applyFont="1" applyAlignment="1">
      <alignment vertical="center"/>
      <protection/>
    </xf>
    <xf numFmtId="0" fontId="26" fillId="0" borderId="26" xfId="24" applyFont="1" applyBorder="1" applyAlignment="1" applyProtection="1">
      <alignment horizontal="left" vertical="center" wrapText="1"/>
      <protection locked="0"/>
    </xf>
    <xf numFmtId="0" fontId="27" fillId="0" borderId="24" xfId="24" applyFont="1" applyBorder="1" applyAlignment="1">
      <alignment horizontal="left" vertical="center"/>
      <protection/>
    </xf>
    <xf numFmtId="169" fontId="27" fillId="0" borderId="0" xfId="24" applyNumberFormat="1" applyFont="1" applyBorder="1" applyAlignment="1">
      <alignment vertical="center"/>
      <protection/>
    </xf>
    <xf numFmtId="169" fontId="27" fillId="0" borderId="25" xfId="24" applyNumberFormat="1" applyFont="1" applyBorder="1" applyAlignment="1">
      <alignment vertical="center"/>
      <protection/>
    </xf>
    <xf numFmtId="0" fontId="26" fillId="0" borderId="0" xfId="24" applyFont="1" applyAlignment="1">
      <alignment horizontal="left" vertical="center"/>
      <protection/>
    </xf>
    <xf numFmtId="4" fontId="4" fillId="0" borderId="0" xfId="24" applyNumberFormat="1" applyFont="1" applyAlignment="1">
      <alignment vertical="center"/>
      <protection/>
    </xf>
    <xf numFmtId="0" fontId="27" fillId="0" borderId="27" xfId="24" applyFont="1" applyBorder="1" applyAlignment="1">
      <alignment horizontal="left" vertical="center"/>
      <protection/>
    </xf>
    <xf numFmtId="169" fontId="27" fillId="0" borderId="28" xfId="24" applyNumberFormat="1" applyFont="1" applyBorder="1" applyAlignment="1">
      <alignment vertical="center"/>
      <protection/>
    </xf>
    <xf numFmtId="169" fontId="27" fillId="0" borderId="29" xfId="24" applyNumberFormat="1" applyFont="1" applyBorder="1" applyAlignment="1">
      <alignment vertical="center"/>
      <protection/>
    </xf>
    <xf numFmtId="0" fontId="4" fillId="0" borderId="30" xfId="24" applyFont="1" applyBorder="1" applyAlignment="1">
      <alignment vertical="center"/>
      <protection/>
    </xf>
    <xf numFmtId="0" fontId="34" fillId="0" borderId="0" xfId="23" applyFont="1" applyAlignment="1">
      <alignment vertical="center"/>
      <protection/>
    </xf>
    <xf numFmtId="166" fontId="18" fillId="0" borderId="1" xfId="0" applyNumberFormat="1" applyFont="1" applyBorder="1" applyAlignment="1" applyProtection="1">
      <alignment horizontal="center"/>
      <protection/>
    </xf>
    <xf numFmtId="0" fontId="3" fillId="0" borderId="0" xfId="23" applyFont="1" applyProtection="1">
      <alignment/>
      <protection locked="0"/>
    </xf>
    <xf numFmtId="2" fontId="3" fillId="0" borderId="0" xfId="23" applyNumberFormat="1" applyFont="1" applyProtection="1">
      <alignment/>
      <protection locked="0"/>
    </xf>
    <xf numFmtId="0" fontId="4" fillId="0" borderId="0" xfId="23" applyFont="1" applyProtection="1">
      <alignment/>
      <protection locked="0"/>
    </xf>
    <xf numFmtId="0" fontId="4" fillId="0" borderId="0" xfId="23" applyFont="1" applyAlignment="1" applyProtection="1">
      <alignment vertical="top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2" fontId="3" fillId="0" borderId="0" xfId="0" applyNumberFormat="1" applyFont="1" applyProtection="1">
      <protection locked="0"/>
    </xf>
    <xf numFmtId="2" fontId="22" fillId="0" borderId="0" xfId="0" applyNumberFormat="1" applyFont="1" applyProtection="1">
      <protection locked="0"/>
    </xf>
    <xf numFmtId="0" fontId="22" fillId="0" borderId="0" xfId="23" applyFont="1" applyProtection="1">
      <alignment/>
      <protection locked="0"/>
    </xf>
    <xf numFmtId="0" fontId="26" fillId="0" borderId="0" xfId="23" applyFont="1" applyProtection="1">
      <alignment/>
      <protection locked="0"/>
    </xf>
    <xf numFmtId="0" fontId="36" fillId="0" borderId="0" xfId="23" applyFont="1" applyProtection="1">
      <alignment/>
      <protection locked="0"/>
    </xf>
    <xf numFmtId="0" fontId="37" fillId="0" borderId="0" xfId="23" applyFont="1" applyProtection="1">
      <alignment/>
      <protection locked="0"/>
    </xf>
    <xf numFmtId="2" fontId="3" fillId="0" borderId="0" xfId="23" applyNumberFormat="1" applyFont="1" applyAlignment="1" applyProtection="1">
      <alignment vertical="top"/>
      <protection locked="0"/>
    </xf>
    <xf numFmtId="0" fontId="38" fillId="0" borderId="0" xfId="23" applyFont="1" applyProtection="1">
      <alignment/>
      <protection locked="0"/>
    </xf>
    <xf numFmtId="0" fontId="39" fillId="0" borderId="0" xfId="23" applyFont="1" applyProtection="1">
      <alignment/>
      <protection locked="0"/>
    </xf>
    <xf numFmtId="166" fontId="4" fillId="0" borderId="15" xfId="0" applyNumberFormat="1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left" wrapText="1"/>
      <protection/>
    </xf>
    <xf numFmtId="2" fontId="4" fillId="0" borderId="15" xfId="0" applyNumberFormat="1" applyFont="1" applyFill="1" applyBorder="1" applyAlignment="1" applyProtection="1">
      <alignment horizontal="right"/>
      <protection/>
    </xf>
    <xf numFmtId="168" fontId="4" fillId="0" borderId="15" xfId="0" applyNumberFormat="1" applyFont="1" applyFill="1" applyBorder="1" applyAlignment="1" applyProtection="1">
      <alignment horizontal="right"/>
      <protection/>
    </xf>
    <xf numFmtId="166" fontId="24" fillId="0" borderId="15" xfId="0" applyNumberFormat="1" applyFont="1" applyFill="1" applyBorder="1" applyAlignment="1" applyProtection="1">
      <alignment horizontal="center"/>
      <protection/>
    </xf>
    <xf numFmtId="49" fontId="24" fillId="0" borderId="15" xfId="0" applyNumberFormat="1" applyFont="1" applyFill="1" applyBorder="1" applyAlignment="1" applyProtection="1">
      <alignment horizontal="left" wrapText="1"/>
      <protection/>
    </xf>
    <xf numFmtId="0" fontId="24" fillId="0" borderId="15" xfId="0" applyFont="1" applyFill="1" applyBorder="1" applyAlignment="1" applyProtection="1">
      <alignment horizontal="left" wrapText="1"/>
      <protection/>
    </xf>
    <xf numFmtId="0" fontId="21" fillId="0" borderId="15" xfId="0" applyFont="1" applyFill="1" applyBorder="1" applyAlignment="1" applyProtection="1">
      <alignment horizontal="left" wrapText="1"/>
      <protection/>
    </xf>
    <xf numFmtId="2" fontId="21" fillId="0" borderId="15" xfId="0" applyNumberFormat="1" applyFont="1" applyFill="1" applyBorder="1" applyAlignment="1" applyProtection="1">
      <alignment horizontal="right"/>
      <protection/>
    </xf>
    <xf numFmtId="49" fontId="4" fillId="0" borderId="15" xfId="0" applyNumberFormat="1" applyFont="1" applyFill="1" applyBorder="1" applyAlignment="1" applyProtection="1">
      <alignment horizontal="left" wrapText="1"/>
      <protection/>
    </xf>
    <xf numFmtId="166" fontId="21" fillId="0" borderId="15" xfId="0" applyNumberFormat="1" applyFont="1" applyFill="1" applyBorder="1" applyAlignment="1" applyProtection="1">
      <alignment horizontal="center"/>
      <protection/>
    </xf>
    <xf numFmtId="2" fontId="21" fillId="0" borderId="15" xfId="0" applyNumberFormat="1" applyFont="1" applyFill="1" applyBorder="1" applyAlignment="1" applyProtection="1">
      <alignment horizontal="right" wrapText="1"/>
      <protection/>
    </xf>
    <xf numFmtId="168" fontId="21" fillId="0" borderId="15" xfId="0" applyNumberFormat="1" applyFont="1" applyFill="1" applyBorder="1" applyAlignment="1" applyProtection="1">
      <alignment horizontal="right"/>
      <protection/>
    </xf>
    <xf numFmtId="0" fontId="20" fillId="0" borderId="0" xfId="0" applyFont="1" applyFill="1"/>
    <xf numFmtId="0" fontId="0" fillId="0" borderId="0" xfId="0" applyFill="1"/>
    <xf numFmtId="0" fontId="20" fillId="0" borderId="0" xfId="0" applyFont="1" applyFill="1" applyAlignment="1" applyProtection="1">
      <alignment horizontal="left" vertical="top"/>
      <protection locked="0"/>
    </xf>
    <xf numFmtId="0" fontId="17" fillId="0" borderId="0" xfId="0" applyFont="1" applyFill="1" applyAlignment="1" applyProtection="1">
      <alignment horizontal="left"/>
      <protection/>
    </xf>
    <xf numFmtId="0" fontId="17" fillId="0" borderId="0" xfId="0" applyFont="1" applyFill="1" applyAlignment="1" applyProtection="1">
      <alignment horizontal="right"/>
      <protection/>
    </xf>
    <xf numFmtId="0" fontId="18" fillId="0" borderId="0" xfId="25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/>
    </xf>
    <xf numFmtId="0" fontId="19" fillId="0" borderId="0" xfId="25" applyFont="1" applyFill="1" applyAlignment="1" applyProtection="1">
      <alignment horizontal="left"/>
      <protection/>
    </xf>
    <xf numFmtId="0" fontId="4" fillId="0" borderId="0" xfId="25" applyFont="1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0" fontId="0" fillId="0" borderId="0" xfId="0" applyFill="1" applyAlignment="1" applyProtection="1">
      <alignment horizontal="right"/>
      <protection/>
    </xf>
    <xf numFmtId="0" fontId="14" fillId="0" borderId="12" xfId="0" applyFont="1" applyFill="1" applyBorder="1" applyAlignment="1" applyProtection="1">
      <alignment horizont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right" wrapText="1"/>
      <protection/>
    </xf>
    <xf numFmtId="166" fontId="18" fillId="0" borderId="17" xfId="0" applyNumberFormat="1" applyFont="1" applyFill="1" applyBorder="1" applyAlignment="1" applyProtection="1">
      <alignment horizontal="center"/>
      <protection/>
    </xf>
    <xf numFmtId="0" fontId="18" fillId="0" borderId="17" xfId="0" applyFont="1" applyFill="1" applyBorder="1" applyAlignment="1" applyProtection="1">
      <alignment horizontal="left" wrapText="1"/>
      <protection/>
    </xf>
    <xf numFmtId="167" fontId="18" fillId="0" borderId="17" xfId="0" applyNumberFormat="1" applyFont="1" applyFill="1" applyBorder="1" applyAlignment="1" applyProtection="1">
      <alignment horizontal="right"/>
      <protection/>
    </xf>
    <xf numFmtId="168" fontId="18" fillId="0" borderId="17" xfId="0" applyNumberFormat="1" applyFont="1" applyFill="1" applyBorder="1" applyAlignment="1" applyProtection="1">
      <alignment horizontal="right"/>
      <protection/>
    </xf>
    <xf numFmtId="166" fontId="18" fillId="0" borderId="15" xfId="0" applyNumberFormat="1" applyFont="1" applyFill="1" applyBorder="1" applyAlignment="1" applyProtection="1">
      <alignment horizontal="center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2" fontId="18" fillId="0" borderId="15" xfId="0" applyNumberFormat="1" applyFont="1" applyFill="1" applyBorder="1" applyAlignment="1" applyProtection="1">
      <alignment horizontal="right"/>
      <protection/>
    </xf>
    <xf numFmtId="168" fontId="18" fillId="0" borderId="15" xfId="0" applyNumberFormat="1" applyFont="1" applyFill="1" applyBorder="1" applyAlignment="1" applyProtection="1">
      <alignment horizontal="right"/>
      <protection/>
    </xf>
    <xf numFmtId="166" fontId="22" fillId="0" borderId="15" xfId="0" applyNumberFormat="1" applyFont="1" applyFill="1" applyBorder="1" applyAlignment="1" applyProtection="1">
      <alignment horizontal="center"/>
      <protection/>
    </xf>
    <xf numFmtId="0" fontId="22" fillId="0" borderId="15" xfId="0" applyFont="1" applyFill="1" applyBorder="1" applyAlignment="1" applyProtection="1">
      <alignment horizontal="left" wrapText="1"/>
      <protection/>
    </xf>
    <xf numFmtId="2" fontId="22" fillId="0" borderId="15" xfId="0" applyNumberFormat="1" applyFont="1" applyFill="1" applyBorder="1" applyAlignment="1" applyProtection="1">
      <alignment horizontal="right"/>
      <protection/>
    </xf>
    <xf numFmtId="168" fontId="22" fillId="0" borderId="15" xfId="0" applyNumberFormat="1" applyFont="1" applyFill="1" applyBorder="1" applyAlignment="1" applyProtection="1">
      <alignment horizontal="right"/>
      <protection/>
    </xf>
    <xf numFmtId="49" fontId="14" fillId="0" borderId="0" xfId="0" applyNumberFormat="1" applyFont="1" applyFill="1" applyBorder="1" applyAlignment="1" applyProtection="1">
      <alignment horizontal="right" wrapText="1"/>
      <protection/>
    </xf>
    <xf numFmtId="0" fontId="14" fillId="0" borderId="0" xfId="0" applyFont="1" applyFill="1" applyBorder="1" applyAlignment="1" applyProtection="1">
      <alignment horizontal="left" wrapText="1"/>
      <protection/>
    </xf>
    <xf numFmtId="2" fontId="14" fillId="0" borderId="0" xfId="0" applyNumberFormat="1" applyFont="1" applyFill="1" applyBorder="1" applyAlignment="1" applyProtection="1">
      <alignment horizontal="right"/>
      <protection/>
    </xf>
    <xf numFmtId="168" fontId="14" fillId="0" borderId="0" xfId="0" applyNumberFormat="1" applyFont="1" applyFill="1" applyBorder="1" applyAlignment="1" applyProtection="1">
      <alignment horizontal="right"/>
      <protection/>
    </xf>
    <xf numFmtId="0" fontId="18" fillId="0" borderId="1" xfId="0" applyFont="1" applyFill="1" applyBorder="1" applyAlignment="1" applyProtection="1">
      <alignment horizontal="left"/>
      <protection/>
    </xf>
    <xf numFmtId="0" fontId="25" fillId="0" borderId="2" xfId="0" applyFont="1" applyFill="1" applyBorder="1" applyAlignment="1" applyProtection="1">
      <alignment horizontal="center"/>
      <protection/>
    </xf>
    <xf numFmtId="167" fontId="25" fillId="0" borderId="2" xfId="0" applyNumberFormat="1" applyFont="1" applyFill="1" applyBorder="1" applyAlignment="1" applyProtection="1">
      <alignment horizontal="right"/>
      <protection/>
    </xf>
    <xf numFmtId="168" fontId="25" fillId="0" borderId="2" xfId="0" applyNumberFormat="1" applyFont="1" applyFill="1" applyBorder="1" applyAlignment="1" applyProtection="1">
      <alignment horizontal="right"/>
      <protection/>
    </xf>
    <xf numFmtId="168" fontId="18" fillId="0" borderId="12" xfId="0" applyNumberFormat="1" applyFont="1" applyFill="1" applyBorder="1" applyAlignment="1" applyProtection="1">
      <alignment horizontal="right"/>
      <protection/>
    </xf>
    <xf numFmtId="166" fontId="25" fillId="0" borderId="0" xfId="0" applyNumberFormat="1" applyFont="1" applyFill="1" applyBorder="1" applyAlignment="1" applyProtection="1">
      <alignment horizontal="right"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0" fontId="25" fillId="0" borderId="0" xfId="0" applyFont="1" applyFill="1" applyBorder="1" applyAlignment="1" applyProtection="1">
      <alignment horizontal="center" wrapText="1"/>
      <protection/>
    </xf>
    <xf numFmtId="167" fontId="25" fillId="0" borderId="0" xfId="0" applyNumberFormat="1" applyFont="1" applyFill="1" applyBorder="1" applyAlignment="1" applyProtection="1">
      <alignment horizontal="right"/>
      <protection/>
    </xf>
    <xf numFmtId="168" fontId="25" fillId="0" borderId="0" xfId="0" applyNumberFormat="1" applyFont="1" applyFill="1" applyBorder="1" applyAlignment="1" applyProtection="1">
      <alignment horizontal="right"/>
      <protection/>
    </xf>
    <xf numFmtId="0" fontId="14" fillId="0" borderId="0" xfId="36" applyFont="1" applyFill="1" applyAlignment="1" applyProtection="1">
      <alignment vertical="center"/>
      <protection/>
    </xf>
    <xf numFmtId="0" fontId="14" fillId="0" borderId="0" xfId="36" applyFont="1" applyFill="1" applyAlignment="1" applyProtection="1">
      <alignment horizontal="right"/>
      <protection/>
    </xf>
    <xf numFmtId="0" fontId="0" fillId="0" borderId="0" xfId="0" applyFill="1" applyAlignment="1">
      <alignment horizontal="right"/>
    </xf>
    <xf numFmtId="49" fontId="40" fillId="0" borderId="31" xfId="0" applyNumberFormat="1" applyFont="1" applyFill="1" applyBorder="1" applyAlignment="1" applyProtection="1">
      <alignment horizontal="left" vertical="center"/>
      <protection/>
    </xf>
    <xf numFmtId="49" fontId="40" fillId="0" borderId="32" xfId="0" applyNumberFormat="1" applyFont="1" applyFill="1" applyBorder="1" applyAlignment="1" applyProtection="1">
      <alignment horizontal="left" vertical="center"/>
      <protection/>
    </xf>
    <xf numFmtId="49" fontId="41" fillId="0" borderId="33" xfId="0" applyNumberFormat="1" applyFont="1" applyFill="1" applyBorder="1" applyAlignment="1" applyProtection="1">
      <alignment horizontal="center" vertical="center"/>
      <protection/>
    </xf>
    <xf numFmtId="0" fontId="40" fillId="0" borderId="34" xfId="0" applyNumberFormat="1" applyFont="1" applyFill="1" applyBorder="1" applyAlignment="1" applyProtection="1">
      <alignment vertical="center"/>
      <protection/>
    </xf>
    <xf numFmtId="0" fontId="40" fillId="0" borderId="0" xfId="0" applyFont="1" applyAlignment="1">
      <alignment vertical="center"/>
    </xf>
    <xf numFmtId="49" fontId="41" fillId="0" borderId="35" xfId="0" applyNumberFormat="1" applyFont="1" applyFill="1" applyBorder="1" applyAlignment="1" applyProtection="1">
      <alignment horizontal="left" vertical="center"/>
      <protection/>
    </xf>
    <xf numFmtId="49" fontId="41" fillId="0" borderId="36" xfId="0" applyNumberFormat="1" applyFont="1" applyFill="1" applyBorder="1" applyAlignment="1" applyProtection="1">
      <alignment horizontal="left" vertical="center"/>
      <protection/>
    </xf>
    <xf numFmtId="49" fontId="41" fillId="0" borderId="36" xfId="0" applyNumberFormat="1" applyFont="1" applyFill="1" applyBorder="1" applyAlignment="1" applyProtection="1">
      <alignment horizontal="center" vertical="center"/>
      <protection/>
    </xf>
    <xf numFmtId="49" fontId="41" fillId="0" borderId="37" xfId="0" applyNumberFormat="1" applyFont="1" applyFill="1" applyBorder="1" applyAlignment="1" applyProtection="1">
      <alignment horizontal="right" vertical="center"/>
      <protection/>
    </xf>
    <xf numFmtId="49" fontId="41" fillId="0" borderId="38" xfId="0" applyNumberFormat="1" applyFont="1" applyFill="1" applyBorder="1" applyAlignment="1" applyProtection="1">
      <alignment horizontal="center" vertical="center"/>
      <protection/>
    </xf>
    <xf numFmtId="49" fontId="41" fillId="0" borderId="39" xfId="0" applyNumberFormat="1" applyFont="1" applyFill="1" applyBorder="1" applyAlignment="1" applyProtection="1">
      <alignment horizontal="center" vertical="center"/>
      <protection/>
    </xf>
    <xf numFmtId="49" fontId="41" fillId="0" borderId="40" xfId="0" applyNumberFormat="1" applyFont="1" applyFill="1" applyBorder="1" applyAlignment="1" applyProtection="1">
      <alignment horizontal="center" vertical="center"/>
      <protection/>
    </xf>
    <xf numFmtId="49" fontId="40" fillId="5" borderId="41" xfId="0" applyNumberFormat="1" applyFont="1" applyFill="1" applyBorder="1" applyAlignment="1" applyProtection="1">
      <alignment horizontal="left" vertical="center"/>
      <protection/>
    </xf>
    <xf numFmtId="4" fontId="41" fillId="5" borderId="41" xfId="0" applyNumberFormat="1" applyFont="1" applyFill="1" applyBorder="1" applyAlignment="1" applyProtection="1">
      <alignment horizontal="right" vertical="center"/>
      <protection/>
    </xf>
    <xf numFmtId="49" fontId="41" fillId="5" borderId="41" xfId="0" applyNumberFormat="1" applyFont="1" applyFill="1" applyBorder="1" applyAlignment="1" applyProtection="1">
      <alignment horizontal="right" vertical="center"/>
      <protection/>
    </xf>
    <xf numFmtId="49" fontId="40" fillId="5" borderId="0" xfId="0" applyNumberFormat="1" applyFont="1" applyFill="1" applyBorder="1" applyAlignment="1" applyProtection="1">
      <alignment horizontal="left" vertical="center"/>
      <protection/>
    </xf>
    <xf numFmtId="4" fontId="41" fillId="5" borderId="0" xfId="0" applyNumberFormat="1" applyFont="1" applyFill="1" applyBorder="1" applyAlignment="1" applyProtection="1">
      <alignment horizontal="right" vertical="center"/>
      <protection/>
    </xf>
    <xf numFmtId="49" fontId="41" fillId="5" borderId="0" xfId="0" applyNumberFormat="1" applyFont="1" applyFill="1" applyBorder="1" applyAlignment="1" applyProtection="1">
      <alignment horizontal="right" vertical="center"/>
      <protection/>
    </xf>
    <xf numFmtId="49" fontId="40" fillId="0" borderId="0" xfId="0" applyNumberFormat="1" applyFont="1" applyFill="1" applyBorder="1" applyAlignment="1" applyProtection="1">
      <alignment horizontal="left" vertical="center"/>
      <protection/>
    </xf>
    <xf numFmtId="4" fontId="40" fillId="0" borderId="0" xfId="0" applyNumberFormat="1" applyFont="1" applyFill="1" applyBorder="1" applyAlignment="1" applyProtection="1">
      <alignment horizontal="right" vertical="center"/>
      <protection/>
    </xf>
    <xf numFmtId="49" fontId="40" fillId="0" borderId="30" xfId="0" applyNumberFormat="1" applyFont="1" applyFill="1" applyBorder="1" applyAlignment="1" applyProtection="1">
      <alignment horizontal="left" vertical="center"/>
      <protection/>
    </xf>
    <xf numFmtId="4" fontId="40" fillId="0" borderId="30" xfId="0" applyNumberFormat="1" applyFont="1" applyFill="1" applyBorder="1" applyAlignment="1" applyProtection="1">
      <alignment horizontal="right" vertical="center"/>
      <protection/>
    </xf>
    <xf numFmtId="0" fontId="40" fillId="0" borderId="7" xfId="0" applyNumberFormat="1" applyFont="1" applyFill="1" applyBorder="1" applyAlignment="1" applyProtection="1">
      <alignment vertical="center"/>
      <protection/>
    </xf>
    <xf numFmtId="4" fontId="41" fillId="0" borderId="7" xfId="0" applyNumberFormat="1" applyFont="1" applyFill="1" applyBorder="1" applyAlignment="1" applyProtection="1">
      <alignment horizontal="right" vertical="center"/>
      <protection/>
    </xf>
    <xf numFmtId="0" fontId="30" fillId="6" borderId="1" xfId="23" applyFont="1" applyFill="1" applyBorder="1" applyAlignment="1" applyProtection="1">
      <alignment vertical="center"/>
      <protection/>
    </xf>
    <xf numFmtId="0" fontId="35" fillId="6" borderId="2" xfId="23" applyFont="1" applyFill="1" applyBorder="1" applyAlignment="1" applyProtection="1">
      <alignment vertical="center"/>
      <protection/>
    </xf>
    <xf numFmtId="0" fontId="3" fillId="6" borderId="2" xfId="23" applyFont="1" applyFill="1" applyBorder="1" applyAlignment="1" applyProtection="1">
      <alignment vertical="center"/>
      <protection/>
    </xf>
    <xf numFmtId="2" fontId="3" fillId="6" borderId="2" xfId="23" applyNumberFormat="1" applyFont="1" applyFill="1" applyBorder="1" applyAlignment="1" applyProtection="1">
      <alignment vertical="center"/>
      <protection/>
    </xf>
    <xf numFmtId="2" fontId="3" fillId="6" borderId="3" xfId="23" applyNumberFormat="1" applyFont="1" applyFill="1" applyBorder="1" applyAlignment="1" applyProtection="1">
      <alignment vertical="center"/>
      <protection/>
    </xf>
    <xf numFmtId="0" fontId="30" fillId="0" borderId="0" xfId="23" applyFont="1" applyProtection="1">
      <alignment/>
      <protection/>
    </xf>
    <xf numFmtId="0" fontId="4" fillId="0" borderId="0" xfId="23" applyFont="1" applyProtection="1">
      <alignment/>
      <protection/>
    </xf>
    <xf numFmtId="2" fontId="4" fillId="0" borderId="0" xfId="23" applyNumberFormat="1" applyFont="1" applyProtection="1">
      <alignment/>
      <protection/>
    </xf>
    <xf numFmtId="0" fontId="4" fillId="0" borderId="0" xfId="23" applyFont="1" applyAlignment="1" applyProtection="1">
      <alignment horizontal="left" vertical="center"/>
      <protection/>
    </xf>
    <xf numFmtId="0" fontId="4" fillId="0" borderId="0" xfId="23" applyFont="1" applyAlignment="1" applyProtection="1">
      <alignment horizontal="center" vertical="center"/>
      <protection/>
    </xf>
    <xf numFmtId="2" fontId="4" fillId="0" borderId="0" xfId="23" applyNumberFormat="1" applyFont="1" applyAlignment="1" applyProtection="1">
      <alignment horizontal="right" vertical="center"/>
      <protection/>
    </xf>
    <xf numFmtId="0" fontId="4" fillId="0" borderId="1" xfId="23" applyFont="1" applyBorder="1" applyAlignment="1" applyProtection="1">
      <alignment vertical="center"/>
      <protection/>
    </xf>
    <xf numFmtId="0" fontId="4" fillId="0" borderId="2" xfId="23" applyFont="1" applyBorder="1" applyAlignment="1" applyProtection="1">
      <alignment horizontal="center" vertical="center"/>
      <protection/>
    </xf>
    <xf numFmtId="0" fontId="35" fillId="0" borderId="2" xfId="23" applyFont="1" applyBorder="1" applyAlignment="1" applyProtection="1">
      <alignment vertical="center"/>
      <protection/>
    </xf>
    <xf numFmtId="0" fontId="30" fillId="0" borderId="2" xfId="23" applyFont="1" applyBorder="1" applyAlignment="1" applyProtection="1">
      <alignment vertical="center"/>
      <protection/>
    </xf>
    <xf numFmtId="0" fontId="4" fillId="0" borderId="2" xfId="23" applyFont="1" applyBorder="1" applyAlignment="1" applyProtection="1">
      <alignment vertical="center"/>
      <protection/>
    </xf>
    <xf numFmtId="2" fontId="4" fillId="0" borderId="2" xfId="23" applyNumberFormat="1" applyFont="1" applyBorder="1" applyAlignment="1" applyProtection="1">
      <alignment vertical="center"/>
      <protection/>
    </xf>
    <xf numFmtId="2" fontId="4" fillId="0" borderId="3" xfId="23" applyNumberFormat="1" applyFont="1" applyBorder="1" applyAlignment="1" applyProtection="1">
      <alignment vertical="center"/>
      <protection/>
    </xf>
    <xf numFmtId="0" fontId="4" fillId="0" borderId="0" xfId="23" applyFont="1" applyAlignment="1" applyProtection="1">
      <alignment horizontal="center"/>
      <protection/>
    </xf>
    <xf numFmtId="0" fontId="4" fillId="0" borderId="0" xfId="23" applyFont="1" applyAlignment="1" applyProtection="1">
      <alignment vertical="top"/>
      <protection/>
    </xf>
    <xf numFmtId="0" fontId="4" fillId="0" borderId="0" xfId="23" applyFont="1" applyAlignment="1" applyProtection="1">
      <alignment horizontal="center" vertical="top"/>
      <protection/>
    </xf>
    <xf numFmtId="0" fontId="4" fillId="0" borderId="0" xfId="23" applyFont="1" applyAlignment="1" applyProtection="1">
      <alignment vertical="top" wrapText="1"/>
      <protection/>
    </xf>
    <xf numFmtId="0" fontId="4" fillId="0" borderId="0" xfId="23" applyFont="1" applyAlignment="1" applyProtection="1">
      <alignment horizontal="right" vertical="top" wrapText="1"/>
      <protection/>
    </xf>
    <xf numFmtId="0" fontId="4" fillId="0" borderId="0" xfId="23" applyFont="1" applyAlignment="1" applyProtection="1">
      <alignment horizontal="right" vertical="top"/>
      <protection/>
    </xf>
    <xf numFmtId="2" fontId="4" fillId="0" borderId="0" xfId="23" applyNumberFormat="1" applyFont="1" applyAlignment="1" applyProtection="1">
      <alignment vertical="top"/>
      <protection/>
    </xf>
    <xf numFmtId="0" fontId="4" fillId="0" borderId="0" xfId="23" applyFont="1" applyAlignment="1" applyProtection="1">
      <alignment/>
      <protection/>
    </xf>
    <xf numFmtId="0" fontId="4" fillId="0" borderId="0" xfId="23" applyFont="1" applyAlignment="1" applyProtection="1">
      <alignment wrapText="1"/>
      <protection/>
    </xf>
    <xf numFmtId="0" fontId="4" fillId="0" borderId="0" xfId="23" applyFont="1" applyAlignment="1" applyProtection="1">
      <alignment horizontal="right"/>
      <protection/>
    </xf>
    <xf numFmtId="2" fontId="4" fillId="0" borderId="0" xfId="23" applyNumberFormat="1" applyFont="1" applyAlignment="1" applyProtection="1">
      <alignment/>
      <protection/>
    </xf>
    <xf numFmtId="0" fontId="4" fillId="0" borderId="0" xfId="23" applyFont="1" applyAlignment="1" applyProtection="1">
      <alignment wrapText="1"/>
      <protection/>
    </xf>
    <xf numFmtId="0" fontId="4" fillId="0" borderId="0" xfId="23" applyFont="1" applyAlignment="1" applyProtection="1">
      <alignment horizontal="right" wrapText="1"/>
      <protection/>
    </xf>
    <xf numFmtId="0" fontId="4" fillId="0" borderId="0" xfId="23" applyFont="1" applyAlignment="1" applyProtection="1">
      <alignment vertical="top" wrapText="1"/>
      <protection/>
    </xf>
    <xf numFmtId="0" fontId="3" fillId="0" borderId="0" xfId="23" applyFont="1" applyProtection="1">
      <alignment/>
      <protection/>
    </xf>
    <xf numFmtId="2" fontId="3" fillId="0" borderId="0" xfId="23" applyNumberFormat="1" applyFont="1" applyProtection="1">
      <alignment/>
      <protection/>
    </xf>
    <xf numFmtId="0" fontId="3" fillId="0" borderId="0" xfId="23" applyFont="1" applyAlignment="1" applyProtection="1">
      <alignment vertical="center"/>
      <protection/>
    </xf>
    <xf numFmtId="2" fontId="3" fillId="0" borderId="0" xfId="23" applyNumberFormat="1" applyFont="1" applyAlignment="1" applyProtection="1">
      <alignment vertical="center"/>
      <protection/>
    </xf>
    <xf numFmtId="2" fontId="35" fillId="0" borderId="12" xfId="23" applyNumberFormat="1" applyFont="1" applyBorder="1" applyAlignment="1" applyProtection="1">
      <alignment vertical="center"/>
      <protection/>
    </xf>
    <xf numFmtId="0" fontId="3" fillId="0" borderId="1" xfId="23" applyFont="1" applyBorder="1" applyAlignment="1" applyProtection="1">
      <alignment vertical="center"/>
      <protection/>
    </xf>
    <xf numFmtId="0" fontId="3" fillId="0" borderId="2" xfId="23" applyFont="1" applyBorder="1" applyAlignment="1" applyProtection="1">
      <alignment vertical="center"/>
      <protection/>
    </xf>
    <xf numFmtId="2" fontId="3" fillId="0" borderId="2" xfId="23" applyNumberFormat="1" applyFont="1" applyBorder="1" applyAlignment="1" applyProtection="1">
      <alignment vertical="center"/>
      <protection/>
    </xf>
    <xf numFmtId="2" fontId="3" fillId="0" borderId="3" xfId="23" applyNumberFormat="1" applyFont="1" applyBorder="1" applyAlignment="1" applyProtection="1">
      <alignment vertical="center"/>
      <protection/>
    </xf>
    <xf numFmtId="0" fontId="4" fillId="0" borderId="0" xfId="23" applyFont="1" applyAlignment="1" applyProtection="1">
      <alignment vertical="center"/>
      <protection/>
    </xf>
    <xf numFmtId="2" fontId="4" fillId="0" borderId="0" xfId="23" applyNumberFormat="1" applyFont="1" applyAlignment="1" applyProtection="1">
      <alignment vertical="center"/>
      <protection/>
    </xf>
    <xf numFmtId="0" fontId="4" fillId="0" borderId="6" xfId="23" applyFont="1" applyBorder="1" applyAlignment="1" applyProtection="1">
      <alignment vertical="center"/>
      <protection/>
    </xf>
    <xf numFmtId="0" fontId="4" fillId="0" borderId="7" xfId="23" applyFont="1" applyBorder="1" applyAlignment="1" applyProtection="1">
      <alignment vertical="center"/>
      <protection/>
    </xf>
    <xf numFmtId="2" fontId="4" fillId="0" borderId="7" xfId="23" applyNumberFormat="1" applyFont="1" applyBorder="1" applyAlignment="1" applyProtection="1">
      <alignment vertical="center"/>
      <protection/>
    </xf>
    <xf numFmtId="2" fontId="4" fillId="0" borderId="8" xfId="23" applyNumberFormat="1" applyFont="1" applyBorder="1" applyAlignment="1" applyProtection="1">
      <alignment vertical="center"/>
      <protection/>
    </xf>
    <xf numFmtId="0" fontId="35" fillId="0" borderId="4" xfId="23" applyFont="1" applyBorder="1" applyAlignment="1" applyProtection="1">
      <alignment vertical="center"/>
      <protection/>
    </xf>
    <xf numFmtId="0" fontId="35" fillId="0" borderId="0" xfId="23" applyFont="1" applyAlignment="1" applyProtection="1">
      <alignment vertical="center"/>
      <protection/>
    </xf>
    <xf numFmtId="2" fontId="35" fillId="0" borderId="0" xfId="23" applyNumberFormat="1" applyFont="1" applyAlignment="1" applyProtection="1">
      <alignment vertical="center"/>
      <protection/>
    </xf>
    <xf numFmtId="2" fontId="35" fillId="0" borderId="5" xfId="23" applyNumberFormat="1" applyFont="1" applyBorder="1" applyAlignment="1" applyProtection="1">
      <alignment horizontal="right" vertical="center"/>
      <protection/>
    </xf>
    <xf numFmtId="0" fontId="4" fillId="0" borderId="42" xfId="23" applyFont="1" applyBorder="1" applyAlignment="1" applyProtection="1">
      <alignment vertical="center"/>
      <protection/>
    </xf>
    <xf numFmtId="0" fontId="4" fillId="0" borderId="30" xfId="23" applyFont="1" applyBorder="1" applyAlignment="1" applyProtection="1">
      <alignment vertical="center"/>
      <protection/>
    </xf>
    <xf numFmtId="2" fontId="4" fillId="0" borderId="30" xfId="23" applyNumberFormat="1" applyFont="1" applyBorder="1" applyAlignment="1" applyProtection="1">
      <alignment vertical="center"/>
      <protection/>
    </xf>
    <xf numFmtId="2" fontId="4" fillId="0" borderId="43" xfId="23" applyNumberFormat="1" applyFont="1" applyBorder="1" applyAlignment="1" applyProtection="1">
      <alignment vertical="center"/>
      <protection/>
    </xf>
    <xf numFmtId="0" fontId="35" fillId="6" borderId="1" xfId="0" applyFont="1" applyFill="1" applyBorder="1" applyAlignment="1" applyProtection="1">
      <alignment vertical="center"/>
      <protection/>
    </xf>
    <xf numFmtId="0" fontId="35" fillId="6" borderId="2" xfId="0" applyFont="1" applyFill="1" applyBorder="1" applyAlignment="1" applyProtection="1">
      <alignment vertical="center"/>
      <protection/>
    </xf>
    <xf numFmtId="0" fontId="3" fillId="6" borderId="2" xfId="0" applyFont="1" applyFill="1" applyBorder="1" applyAlignment="1" applyProtection="1">
      <alignment vertical="center"/>
      <protection/>
    </xf>
    <xf numFmtId="2" fontId="3" fillId="6" borderId="2" xfId="0" applyNumberFormat="1" applyFont="1" applyFill="1" applyBorder="1" applyAlignment="1" applyProtection="1">
      <alignment vertical="center"/>
      <protection/>
    </xf>
    <xf numFmtId="2" fontId="3" fillId="6" borderId="3" xfId="0" applyNumberFormat="1" applyFont="1" applyFill="1" applyBorder="1" applyAlignment="1" applyProtection="1">
      <alignment vertical="center"/>
      <protection/>
    </xf>
    <xf numFmtId="0" fontId="4" fillId="0" borderId="0" xfId="0" applyFont="1" applyProtection="1">
      <protection/>
    </xf>
    <xf numFmtId="2" fontId="4" fillId="0" borderId="0" xfId="0" applyNumberFormat="1" applyFont="1" applyProtection="1"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 horizontal="right" vertical="center"/>
      <protection/>
    </xf>
    <xf numFmtId="0" fontId="35" fillId="0" borderId="1" xfId="0" applyFont="1" applyBorder="1" applyAlignment="1" applyProtection="1">
      <alignment vertical="center"/>
      <protection/>
    </xf>
    <xf numFmtId="0" fontId="35" fillId="0" borderId="2" xfId="0" applyFont="1" applyBorder="1" applyAlignment="1" applyProtection="1">
      <alignment horizontal="center" vertical="center"/>
      <protection/>
    </xf>
    <xf numFmtId="0" fontId="35" fillId="0" borderId="2" xfId="0" applyFont="1" applyBorder="1" applyAlignment="1" applyProtection="1">
      <alignment vertical="center"/>
      <protection/>
    </xf>
    <xf numFmtId="2" fontId="35" fillId="0" borderId="2" xfId="0" applyNumberFormat="1" applyFont="1" applyBorder="1" applyAlignment="1" applyProtection="1">
      <alignment vertical="center"/>
      <protection/>
    </xf>
    <xf numFmtId="2" fontId="35" fillId="0" borderId="3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 vertical="top"/>
      <protection/>
    </xf>
    <xf numFmtId="2" fontId="4" fillId="0" borderId="0" xfId="0" applyNumberFormat="1" applyFont="1" applyAlignment="1" applyProtection="1">
      <alignment vertical="top"/>
      <protection/>
    </xf>
    <xf numFmtId="2" fontId="14" fillId="0" borderId="0" xfId="0" applyNumberFormat="1" applyFont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right"/>
      <protection/>
    </xf>
    <xf numFmtId="2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vertical="top" wrapText="1"/>
      <protection/>
    </xf>
    <xf numFmtId="2" fontId="4" fillId="0" borderId="0" xfId="0" applyNumberFormat="1" applyFont="1" applyAlignment="1" applyProtection="1">
      <alignment vertical="top" wrapText="1"/>
      <protection/>
    </xf>
    <xf numFmtId="0" fontId="4" fillId="0" borderId="0" xfId="0" applyFont="1" applyAlignment="1" applyProtection="1">
      <alignment wrapText="1"/>
      <protection/>
    </xf>
    <xf numFmtId="2" fontId="4" fillId="0" borderId="0" xfId="0" applyNumberFormat="1" applyFont="1" applyAlignment="1" applyProtection="1">
      <alignment wrapText="1"/>
      <protection/>
    </xf>
    <xf numFmtId="0" fontId="3" fillId="0" borderId="0" xfId="0" applyFont="1" applyProtection="1">
      <protection/>
    </xf>
    <xf numFmtId="2" fontId="3" fillId="0" borderId="0" xfId="0" applyNumberFormat="1" applyFont="1" applyProtection="1">
      <protection/>
    </xf>
    <xf numFmtId="2" fontId="35" fillId="0" borderId="12" xfId="0" applyNumberFormat="1" applyFont="1" applyBorder="1" applyProtection="1">
      <protection/>
    </xf>
    <xf numFmtId="0" fontId="30" fillId="0" borderId="1" xfId="0" applyFont="1" applyBorder="1" applyProtection="1">
      <protection/>
    </xf>
    <xf numFmtId="0" fontId="30" fillId="0" borderId="2" xfId="0" applyFont="1" applyBorder="1" applyProtection="1">
      <protection/>
    </xf>
    <xf numFmtId="2" fontId="30" fillId="0" borderId="2" xfId="0" applyNumberFormat="1" applyFont="1" applyBorder="1" applyProtection="1">
      <protection/>
    </xf>
    <xf numFmtId="2" fontId="30" fillId="0" borderId="3" xfId="0" applyNumberFormat="1" applyFont="1" applyBorder="1" applyProtection="1">
      <protection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right" vertical="top" wrapText="1"/>
      <protection/>
    </xf>
    <xf numFmtId="0" fontId="14" fillId="0" borderId="0" xfId="0" applyFont="1" applyAlignment="1" applyProtection="1">
      <alignment vertical="top" wrapText="1"/>
      <protection/>
    </xf>
    <xf numFmtId="2" fontId="4" fillId="0" borderId="0" xfId="0" applyNumberFormat="1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/>
      <protection/>
    </xf>
    <xf numFmtId="0" fontId="3" fillId="0" borderId="1" xfId="0" applyFont="1" applyBorder="1" applyProtection="1">
      <protection/>
    </xf>
    <xf numFmtId="0" fontId="3" fillId="0" borderId="2" xfId="0" applyFont="1" applyBorder="1" applyProtection="1">
      <protection/>
    </xf>
    <xf numFmtId="0" fontId="35" fillId="0" borderId="2" xfId="0" applyFont="1" applyBorder="1" applyProtection="1">
      <protection/>
    </xf>
    <xf numFmtId="2" fontId="3" fillId="0" borderId="2" xfId="0" applyNumberFormat="1" applyFont="1" applyBorder="1" applyProtection="1">
      <protection/>
    </xf>
    <xf numFmtId="2" fontId="3" fillId="0" borderId="3" xfId="0" applyNumberFormat="1" applyFont="1" applyBorder="1" applyProtection="1">
      <protection/>
    </xf>
    <xf numFmtId="2" fontId="35" fillId="0" borderId="0" xfId="0" applyNumberFormat="1" applyFont="1" applyProtection="1">
      <protection/>
    </xf>
    <xf numFmtId="171" fontId="4" fillId="0" borderId="0" xfId="0" applyNumberFormat="1" applyFont="1" applyProtection="1">
      <protection/>
    </xf>
    <xf numFmtId="0" fontId="4" fillId="0" borderId="6" xfId="0" applyFont="1" applyBorder="1" applyProtection="1">
      <protection/>
    </xf>
    <xf numFmtId="0" fontId="4" fillId="0" borderId="7" xfId="0" applyFont="1" applyBorder="1" applyProtection="1">
      <protection/>
    </xf>
    <xf numFmtId="2" fontId="4" fillId="0" borderId="7" xfId="0" applyNumberFormat="1" applyFont="1" applyBorder="1" applyProtection="1">
      <protection/>
    </xf>
    <xf numFmtId="2" fontId="3" fillId="0" borderId="8" xfId="0" applyNumberFormat="1" applyFont="1" applyBorder="1" applyProtection="1">
      <protection/>
    </xf>
    <xf numFmtId="0" fontId="35" fillId="0" borderId="4" xfId="0" applyFont="1" applyBorder="1" applyProtection="1">
      <protection/>
    </xf>
    <xf numFmtId="0" fontId="35" fillId="0" borderId="0" xfId="0" applyFont="1" applyProtection="1">
      <protection/>
    </xf>
    <xf numFmtId="2" fontId="35" fillId="0" borderId="5" xfId="0" applyNumberFormat="1" applyFont="1" applyBorder="1" applyProtection="1">
      <protection/>
    </xf>
    <xf numFmtId="0" fontId="4" fillId="0" borderId="42" xfId="0" applyFont="1" applyBorder="1" applyProtection="1">
      <protection/>
    </xf>
    <xf numFmtId="0" fontId="4" fillId="0" borderId="30" xfId="0" applyFont="1" applyBorder="1" applyProtection="1">
      <protection/>
    </xf>
    <xf numFmtId="2" fontId="4" fillId="0" borderId="30" xfId="0" applyNumberFormat="1" applyFont="1" applyBorder="1" applyProtection="1">
      <protection/>
    </xf>
    <xf numFmtId="2" fontId="4" fillId="0" borderId="43" xfId="0" applyNumberFormat="1" applyFont="1" applyBorder="1" applyProtection="1">
      <protection/>
    </xf>
    <xf numFmtId="0" fontId="4" fillId="0" borderId="0" xfId="24" applyProtection="1">
      <alignment/>
      <protection/>
    </xf>
    <xf numFmtId="0" fontId="4" fillId="0" borderId="0" xfId="24" applyFont="1" applyAlignment="1" applyProtection="1">
      <alignment horizontal="center" vertical="center" wrapText="1"/>
      <protection/>
    </xf>
    <xf numFmtId="0" fontId="4" fillId="0" borderId="4" xfId="24" applyFont="1" applyBorder="1" applyAlignment="1" applyProtection="1">
      <alignment horizontal="center" vertical="center" wrapText="1"/>
      <protection/>
    </xf>
    <xf numFmtId="0" fontId="26" fillId="4" borderId="18" xfId="24" applyFont="1" applyFill="1" applyBorder="1" applyAlignment="1" applyProtection="1">
      <alignment horizontal="center" vertical="center" wrapText="1"/>
      <protection/>
    </xf>
    <xf numFmtId="0" fontId="26" fillId="4" borderId="19" xfId="24" applyFont="1" applyFill="1" applyBorder="1" applyAlignment="1" applyProtection="1">
      <alignment horizontal="center" vertical="center" wrapText="1"/>
      <protection/>
    </xf>
    <xf numFmtId="0" fontId="26" fillId="4" borderId="20" xfId="24" applyFont="1" applyFill="1" applyBorder="1" applyAlignment="1" applyProtection="1">
      <alignment horizontal="center" vertical="center" wrapText="1"/>
      <protection/>
    </xf>
    <xf numFmtId="0" fontId="4" fillId="0" borderId="0" xfId="24" applyFont="1" applyAlignment="1" applyProtection="1">
      <alignment vertical="center"/>
      <protection/>
    </xf>
    <xf numFmtId="0" fontId="4" fillId="0" borderId="4" xfId="24" applyFont="1" applyBorder="1" applyAlignment="1" applyProtection="1">
      <alignment vertical="center"/>
      <protection/>
    </xf>
    <xf numFmtId="0" fontId="28" fillId="0" borderId="0" xfId="24" applyFont="1" applyAlignment="1" applyProtection="1">
      <alignment horizontal="left" vertical="center"/>
      <protection/>
    </xf>
    <xf numFmtId="4" fontId="28" fillId="0" borderId="0" xfId="24" applyNumberFormat="1" applyFont="1" applyAlignment="1" applyProtection="1">
      <alignment/>
      <protection/>
    </xf>
    <xf numFmtId="0" fontId="31" fillId="0" borderId="0" xfId="24" applyFont="1" applyAlignment="1" applyProtection="1">
      <alignment/>
      <protection/>
    </xf>
    <xf numFmtId="0" fontId="31" fillId="0" borderId="4" xfId="24" applyFont="1" applyBorder="1" applyAlignment="1" applyProtection="1">
      <alignment/>
      <protection/>
    </xf>
    <xf numFmtId="0" fontId="31" fillId="0" borderId="0" xfId="24" applyFont="1" applyAlignment="1" applyProtection="1">
      <alignment horizontal="left"/>
      <protection/>
    </xf>
    <xf numFmtId="0" fontId="32" fillId="0" borderId="0" xfId="24" applyFont="1" applyAlignment="1" applyProtection="1">
      <alignment horizontal="left"/>
      <protection/>
    </xf>
    <xf numFmtId="4" fontId="32" fillId="0" borderId="0" xfId="24" applyNumberFormat="1" applyFont="1" applyAlignment="1" applyProtection="1">
      <alignment/>
      <protection/>
    </xf>
    <xf numFmtId="0" fontId="33" fillId="0" borderId="0" xfId="24" applyFont="1" applyAlignment="1" applyProtection="1">
      <alignment horizontal="left"/>
      <protection/>
    </xf>
    <xf numFmtId="4" fontId="33" fillId="0" borderId="0" xfId="24" applyNumberFormat="1" applyFont="1" applyAlignment="1" applyProtection="1">
      <alignment/>
      <protection/>
    </xf>
    <xf numFmtId="0" fontId="26" fillId="0" borderId="26" xfId="24" applyFont="1" applyBorder="1" applyAlignment="1" applyProtection="1">
      <alignment horizontal="center" vertical="center"/>
      <protection/>
    </xf>
    <xf numFmtId="49" fontId="26" fillId="0" borderId="26" xfId="24" applyNumberFormat="1" applyFont="1" applyBorder="1" applyAlignment="1" applyProtection="1">
      <alignment horizontal="left" vertical="center" wrapText="1"/>
      <protection/>
    </xf>
    <xf numFmtId="0" fontId="26" fillId="0" borderId="26" xfId="24" applyFont="1" applyBorder="1" applyAlignment="1" applyProtection="1">
      <alignment horizontal="left" vertical="center" wrapText="1"/>
      <protection/>
    </xf>
    <xf numFmtId="0" fontId="26" fillId="0" borderId="26" xfId="24" applyFont="1" applyBorder="1" applyAlignment="1" applyProtection="1">
      <alignment horizontal="center" vertical="center" wrapText="1"/>
      <protection/>
    </xf>
    <xf numFmtId="170" fontId="26" fillId="0" borderId="26" xfId="24" applyNumberFormat="1" applyFont="1" applyBorder="1" applyAlignment="1" applyProtection="1">
      <alignment vertical="center"/>
      <protection/>
    </xf>
    <xf numFmtId="4" fontId="26" fillId="0" borderId="26" xfId="24" applyNumberFormat="1" applyFont="1" applyBorder="1" applyAlignment="1" applyProtection="1">
      <alignment vertical="center"/>
      <protection/>
    </xf>
    <xf numFmtId="0" fontId="4" fillId="0" borderId="42" xfId="24" applyFont="1" applyBorder="1" applyAlignment="1" applyProtection="1">
      <alignment vertical="center"/>
      <protection/>
    </xf>
    <xf numFmtId="0" fontId="4" fillId="0" borderId="30" xfId="24" applyFont="1" applyBorder="1" applyAlignment="1" applyProtection="1">
      <alignment vertical="center"/>
      <protection/>
    </xf>
    <xf numFmtId="0" fontId="1" fillId="7" borderId="0" xfId="28" applyFont="1" applyFill="1">
      <alignment/>
      <protection/>
    </xf>
    <xf numFmtId="0" fontId="9" fillId="8" borderId="1" xfId="28" applyFont="1" applyFill="1" applyBorder="1" applyAlignment="1">
      <alignment vertical="center"/>
      <protection/>
    </xf>
    <xf numFmtId="0" fontId="10" fillId="8" borderId="2" xfId="28" applyFont="1" applyFill="1" applyBorder="1" applyAlignment="1">
      <alignment vertical="center"/>
      <protection/>
    </xf>
    <xf numFmtId="0" fontId="1" fillId="8" borderId="2" xfId="28" applyFont="1" applyFill="1" applyBorder="1" applyAlignment="1">
      <alignment vertical="center"/>
      <protection/>
    </xf>
    <xf numFmtId="4" fontId="9" fillId="8" borderId="44" xfId="28" applyNumberFormat="1" applyFont="1" applyFill="1" applyBorder="1" applyAlignment="1">
      <alignment horizontal="right" vertical="center"/>
      <protection/>
    </xf>
    <xf numFmtId="4" fontId="9" fillId="8" borderId="45" xfId="28" applyNumberFormat="1" applyFont="1" applyFill="1" applyBorder="1" applyAlignment="1">
      <alignment horizontal="right" vertical="center"/>
      <protection/>
    </xf>
    <xf numFmtId="3" fontId="9" fillId="8" borderId="46" xfId="28" applyNumberFormat="1" applyFont="1" applyFill="1" applyBorder="1" applyAlignment="1">
      <alignment horizontal="right" vertical="center"/>
      <protection/>
    </xf>
    <xf numFmtId="0" fontId="1" fillId="8" borderId="0" xfId="28" applyFont="1" applyFill="1">
      <alignment/>
      <protection/>
    </xf>
    <xf numFmtId="0" fontId="12" fillId="8" borderId="1" xfId="28" applyFont="1" applyFill="1" applyBorder="1" applyAlignment="1">
      <alignment vertical="center"/>
      <protection/>
    </xf>
    <xf numFmtId="49" fontId="12" fillId="8" borderId="2" xfId="28" applyNumberFormat="1" applyFont="1" applyFill="1" applyBorder="1" applyAlignment="1">
      <alignment horizontal="left" vertical="center"/>
      <protection/>
    </xf>
    <xf numFmtId="0" fontId="12" fillId="8" borderId="2" xfId="28" applyFont="1" applyFill="1" applyBorder="1" applyAlignment="1">
      <alignment vertical="center"/>
      <protection/>
    </xf>
    <xf numFmtId="165" fontId="11" fillId="8" borderId="3" xfId="28" applyNumberFormat="1" applyFont="1" applyFill="1" applyBorder="1">
      <alignment/>
      <protection/>
    </xf>
    <xf numFmtId="3" fontId="12" fillId="8" borderId="12" xfId="28" applyNumberFormat="1" applyFont="1" applyFill="1" applyBorder="1" applyAlignment="1">
      <alignment horizontal="right" vertical="center"/>
      <protection/>
    </xf>
    <xf numFmtId="49" fontId="41" fillId="5" borderId="41" xfId="0" applyNumberFormat="1" applyFont="1" applyFill="1" applyBorder="1" applyAlignment="1" applyProtection="1">
      <alignment horizontal="left" vertical="center"/>
      <protection/>
    </xf>
    <xf numFmtId="49" fontId="41" fillId="5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4" fillId="0" borderId="0" xfId="25" applyFont="1" applyAlignment="1" applyProtection="1">
      <alignment horizontal="center" vertical="center" wrapText="1"/>
      <protection/>
    </xf>
    <xf numFmtId="0" fontId="14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right" wrapText="1"/>
    </xf>
    <xf numFmtId="166" fontId="18" fillId="0" borderId="17" xfId="0" applyNumberFormat="1" applyFont="1" applyBorder="1" applyAlignment="1">
      <alignment horizontal="center"/>
    </xf>
    <xf numFmtId="0" fontId="18" fillId="0" borderId="17" xfId="0" applyFont="1" applyBorder="1" applyAlignment="1">
      <alignment horizontal="left" wrapText="1"/>
    </xf>
    <xf numFmtId="167" fontId="18" fillId="0" borderId="17" xfId="0" applyNumberFormat="1" applyFont="1" applyBorder="1" applyAlignment="1">
      <alignment horizontal="right"/>
    </xf>
    <xf numFmtId="168" fontId="18" fillId="0" borderId="17" xfId="0" applyNumberFormat="1" applyFont="1" applyBorder="1" applyAlignment="1">
      <alignment horizontal="right"/>
    </xf>
    <xf numFmtId="166" fontId="18" fillId="0" borderId="15" xfId="0" applyNumberFormat="1" applyFont="1" applyBorder="1" applyAlignment="1">
      <alignment horizontal="center"/>
    </xf>
    <xf numFmtId="0" fontId="18" fillId="0" borderId="15" xfId="0" applyFont="1" applyBorder="1" applyAlignment="1">
      <alignment horizontal="left" wrapText="1"/>
    </xf>
    <xf numFmtId="2" fontId="18" fillId="0" borderId="15" xfId="0" applyNumberFormat="1" applyFont="1" applyBorder="1" applyAlignment="1">
      <alignment horizontal="right"/>
    </xf>
    <xf numFmtId="168" fontId="18" fillId="0" borderId="15" xfId="0" applyNumberFormat="1" applyFont="1" applyBorder="1" applyAlignment="1">
      <alignment horizontal="right"/>
    </xf>
    <xf numFmtId="166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2" fontId="4" fillId="0" borderId="15" xfId="0" applyNumberFormat="1" applyFont="1" applyBorder="1" applyAlignment="1">
      <alignment horizontal="right"/>
    </xf>
    <xf numFmtId="168" fontId="4" fillId="0" borderId="15" xfId="0" applyNumberFormat="1" applyFont="1" applyBorder="1" applyAlignment="1">
      <alignment horizontal="right"/>
    </xf>
    <xf numFmtId="0" fontId="21" fillId="0" borderId="15" xfId="0" applyFont="1" applyBorder="1" applyAlignment="1">
      <alignment horizontal="left" wrapText="1"/>
    </xf>
    <xf numFmtId="2" fontId="21" fillId="0" borderId="15" xfId="0" applyNumberFormat="1" applyFont="1" applyBorder="1" applyAlignment="1">
      <alignment horizontal="right"/>
    </xf>
    <xf numFmtId="166" fontId="22" fillId="0" borderId="15" xfId="0" applyNumberFormat="1" applyFont="1" applyBorder="1" applyAlignment="1">
      <alignment horizontal="center"/>
    </xf>
    <xf numFmtId="0" fontId="22" fillId="0" borderId="15" xfId="0" applyFont="1" applyBorder="1" applyAlignment="1">
      <alignment horizontal="left" wrapText="1"/>
    </xf>
    <xf numFmtId="2" fontId="22" fillId="0" borderId="15" xfId="0" applyNumberFormat="1" applyFont="1" applyBorder="1" applyAlignment="1">
      <alignment horizontal="right"/>
    </xf>
    <xf numFmtId="168" fontId="22" fillId="0" borderId="15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left" wrapText="1"/>
    </xf>
    <xf numFmtId="49" fontId="22" fillId="0" borderId="15" xfId="0" applyNumberFormat="1" applyFont="1" applyBorder="1" applyAlignment="1">
      <alignment horizontal="left" wrapText="1"/>
    </xf>
    <xf numFmtId="166" fontId="21" fillId="0" borderId="15" xfId="0" applyNumberFormat="1" applyFont="1" applyBorder="1" applyAlignment="1">
      <alignment horizontal="center"/>
    </xf>
    <xf numFmtId="2" fontId="21" fillId="0" borderId="15" xfId="0" applyNumberFormat="1" applyFont="1" applyBorder="1" applyAlignment="1">
      <alignment horizontal="right" wrapText="1"/>
    </xf>
    <xf numFmtId="168" fontId="21" fillId="0" borderId="15" xfId="0" applyNumberFormat="1" applyFont="1" applyBorder="1" applyAlignment="1">
      <alignment horizontal="right"/>
    </xf>
    <xf numFmtId="166" fontId="24" fillId="0" borderId="15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left" wrapText="1"/>
    </xf>
    <xf numFmtId="0" fontId="24" fillId="0" borderId="15" xfId="0" applyFont="1" applyBorder="1" applyAlignment="1">
      <alignment horizontal="left" wrapText="1"/>
    </xf>
    <xf numFmtId="49" fontId="14" fillId="0" borderId="0" xfId="0" applyNumberFormat="1" applyFont="1" applyAlignment="1">
      <alignment horizontal="right" wrapText="1"/>
    </xf>
    <xf numFmtId="0" fontId="14" fillId="0" borderId="0" xfId="0" applyFont="1" applyAlignment="1">
      <alignment horizontal="left" wrapText="1"/>
    </xf>
    <xf numFmtId="2" fontId="14" fillId="0" borderId="0" xfId="0" applyNumberFormat="1" applyFont="1" applyAlignment="1">
      <alignment horizontal="right"/>
    </xf>
    <xf numFmtId="168" fontId="14" fillId="0" borderId="0" xfId="0" applyNumberFormat="1" applyFont="1" applyAlignment="1">
      <alignment horizontal="right"/>
    </xf>
    <xf numFmtId="0" fontId="18" fillId="0" borderId="1" xfId="0" applyFont="1" applyBorder="1" applyAlignment="1">
      <alignment horizontal="left"/>
    </xf>
    <xf numFmtId="0" fontId="25" fillId="0" borderId="2" xfId="0" applyFont="1" applyBorder="1" applyAlignment="1">
      <alignment horizontal="center"/>
    </xf>
    <xf numFmtId="167" fontId="25" fillId="0" borderId="2" xfId="0" applyNumberFormat="1" applyFont="1" applyBorder="1" applyAlignment="1">
      <alignment horizontal="right"/>
    </xf>
    <xf numFmtId="168" fontId="25" fillId="0" borderId="2" xfId="0" applyNumberFormat="1" applyFont="1" applyBorder="1" applyAlignment="1">
      <alignment horizontal="right"/>
    </xf>
    <xf numFmtId="168" fontId="18" fillId="0" borderId="12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 wrapText="1"/>
    </xf>
    <xf numFmtId="167" fontId="25" fillId="0" borderId="0" xfId="0" applyNumberFormat="1" applyFont="1" applyAlignment="1">
      <alignment horizontal="right"/>
    </xf>
    <xf numFmtId="168" fontId="25" fillId="0" borderId="0" xfId="0" applyNumberFormat="1" applyFont="1" applyAlignment="1">
      <alignment horizontal="right"/>
    </xf>
    <xf numFmtId="0" fontId="14" fillId="0" borderId="0" xfId="36" applyFont="1" applyAlignment="1">
      <alignment vertical="center"/>
      <protection/>
    </xf>
    <xf numFmtId="0" fontId="14" fillId="0" borderId="0" xfId="36" applyFont="1" applyAlignment="1">
      <alignment horizontal="right"/>
      <protection/>
    </xf>
    <xf numFmtId="0" fontId="1" fillId="0" borderId="0" xfId="34" applyFont="1">
      <alignment/>
      <protection/>
    </xf>
    <xf numFmtId="0" fontId="35" fillId="0" borderId="12" xfId="37" applyFont="1" applyBorder="1" applyAlignment="1">
      <alignment horizontal="center" wrapText="1"/>
      <protection/>
    </xf>
    <xf numFmtId="49" fontId="35" fillId="0" borderId="12" xfId="37" applyNumberFormat="1" applyFont="1" applyBorder="1" applyAlignment="1">
      <alignment horizontal="left" wrapText="1"/>
      <protection/>
    </xf>
    <xf numFmtId="0" fontId="35" fillId="0" borderId="1" xfId="37" applyFont="1" applyBorder="1" applyAlignment="1">
      <alignment wrapText="1"/>
      <protection/>
    </xf>
    <xf numFmtId="0" fontId="4" fillId="0" borderId="47" xfId="37" applyFont="1" applyBorder="1" applyAlignment="1">
      <alignment horizontal="center" vertical="center" wrapText="1"/>
      <protection/>
    </xf>
    <xf numFmtId="49" fontId="4" fillId="0" borderId="12" xfId="37" applyNumberFormat="1" applyFont="1" applyBorder="1" applyAlignment="1">
      <alignment vertical="center" wrapText="1"/>
      <protection/>
    </xf>
    <xf numFmtId="0" fontId="4" fillId="0" borderId="12" xfId="37" applyFont="1" applyBorder="1" applyAlignment="1">
      <alignment vertical="center" wrapText="1"/>
      <protection/>
    </xf>
    <xf numFmtId="49" fontId="4" fillId="0" borderId="47" xfId="37" applyNumberFormat="1" applyFont="1" applyBorder="1" applyAlignment="1">
      <alignment horizontal="center" vertical="center" wrapText="1" shrinkToFit="1"/>
      <protection/>
    </xf>
    <xf numFmtId="4" fontId="4" fillId="0" borderId="47" xfId="37" applyNumberFormat="1" applyFont="1" applyBorder="1" applyAlignment="1">
      <alignment vertical="center" wrapText="1"/>
      <protection/>
    </xf>
    <xf numFmtId="0" fontId="3" fillId="9" borderId="12" xfId="37" applyFill="1" applyBorder="1" applyAlignment="1">
      <alignment horizontal="center" wrapText="1"/>
      <protection/>
    </xf>
    <xf numFmtId="49" fontId="42" fillId="2" borderId="12" xfId="37" applyNumberFormat="1" applyFont="1" applyFill="1" applyBorder="1" applyAlignment="1">
      <alignment horizontal="left" wrapText="1"/>
      <protection/>
    </xf>
    <xf numFmtId="0" fontId="42" fillId="2" borderId="1" xfId="37" applyFont="1" applyFill="1" applyBorder="1" applyAlignment="1">
      <alignment wrapText="1"/>
      <protection/>
    </xf>
    <xf numFmtId="0" fontId="3" fillId="2" borderId="2" xfId="37" applyFill="1" applyBorder="1" applyAlignment="1">
      <alignment horizontal="center" wrapText="1"/>
      <protection/>
    </xf>
    <xf numFmtId="4" fontId="3" fillId="2" borderId="2" xfId="37" applyNumberFormat="1" applyFill="1" applyBorder="1" applyAlignment="1">
      <alignment horizontal="right" wrapText="1"/>
      <protection/>
    </xf>
    <xf numFmtId="4" fontId="3" fillId="2" borderId="3" xfId="37" applyNumberFormat="1" applyFill="1" applyBorder="1" applyAlignment="1">
      <alignment horizontal="right" wrapText="1"/>
      <protection/>
    </xf>
    <xf numFmtId="4" fontId="35" fillId="2" borderId="12" xfId="37" applyNumberFormat="1" applyFont="1" applyFill="1" applyBorder="1" applyAlignment="1">
      <alignment wrapText="1"/>
      <protection/>
    </xf>
    <xf numFmtId="4" fontId="11" fillId="0" borderId="0" xfId="34" applyNumberFormat="1" applyFont="1">
      <alignment/>
      <protection/>
    </xf>
    <xf numFmtId="49" fontId="40" fillId="0" borderId="31" xfId="0" applyNumberFormat="1" applyFont="1" applyBorder="1" applyAlignment="1">
      <alignment horizontal="left" vertical="center"/>
    </xf>
    <xf numFmtId="49" fontId="40" fillId="0" borderId="32" xfId="0" applyNumberFormat="1" applyFont="1" applyBorder="1" applyAlignment="1">
      <alignment horizontal="left" vertical="center"/>
    </xf>
    <xf numFmtId="49" fontId="41" fillId="0" borderId="33" xfId="0" applyNumberFormat="1" applyFont="1" applyBorder="1" applyAlignment="1">
      <alignment horizontal="center" vertical="center"/>
    </xf>
    <xf numFmtId="0" fontId="40" fillId="0" borderId="34" xfId="0" applyFont="1" applyBorder="1" applyAlignment="1">
      <alignment vertical="center"/>
    </xf>
    <xf numFmtId="49" fontId="41" fillId="0" borderId="35" xfId="0" applyNumberFormat="1" applyFont="1" applyBorder="1" applyAlignment="1">
      <alignment horizontal="left" vertical="center"/>
    </xf>
    <xf numFmtId="49" fontId="41" fillId="0" borderId="36" xfId="0" applyNumberFormat="1" applyFont="1" applyBorder="1" applyAlignment="1">
      <alignment horizontal="left" vertical="center"/>
    </xf>
    <xf numFmtId="49" fontId="41" fillId="0" borderId="36" xfId="0" applyNumberFormat="1" applyFont="1" applyBorder="1" applyAlignment="1">
      <alignment horizontal="center" vertical="center"/>
    </xf>
    <xf numFmtId="49" fontId="41" fillId="0" borderId="37" xfId="0" applyNumberFormat="1" applyFont="1" applyBorder="1" applyAlignment="1">
      <alignment horizontal="right" vertical="center"/>
    </xf>
    <xf numFmtId="49" fontId="41" fillId="0" borderId="38" xfId="0" applyNumberFormat="1" applyFont="1" applyBorder="1" applyAlignment="1">
      <alignment horizontal="center" vertical="center"/>
    </xf>
    <xf numFmtId="49" fontId="41" fillId="0" borderId="39" xfId="0" applyNumberFormat="1" applyFont="1" applyBorder="1" applyAlignment="1">
      <alignment horizontal="center" vertical="center"/>
    </xf>
    <xf numFmtId="49" fontId="41" fillId="0" borderId="40" xfId="0" applyNumberFormat="1" applyFont="1" applyBorder="1" applyAlignment="1">
      <alignment horizontal="center" vertical="center"/>
    </xf>
    <xf numFmtId="49" fontId="40" fillId="5" borderId="41" xfId="0" applyNumberFormat="1" applyFont="1" applyFill="1" applyBorder="1" applyAlignment="1">
      <alignment horizontal="left" vertical="center"/>
    </xf>
    <xf numFmtId="49" fontId="41" fillId="5" borderId="41" xfId="0" applyNumberFormat="1" applyFont="1" applyFill="1" applyBorder="1" applyAlignment="1">
      <alignment horizontal="left" vertical="center"/>
    </xf>
    <xf numFmtId="4" fontId="41" fillId="5" borderId="41" xfId="0" applyNumberFormat="1" applyFont="1" applyFill="1" applyBorder="1" applyAlignment="1">
      <alignment horizontal="right" vertical="center"/>
    </xf>
    <xf numFmtId="49" fontId="41" fillId="5" borderId="41" xfId="0" applyNumberFormat="1" applyFont="1" applyFill="1" applyBorder="1" applyAlignment="1">
      <alignment horizontal="right" vertical="center"/>
    </xf>
    <xf numFmtId="49" fontId="40" fillId="5" borderId="0" xfId="0" applyNumberFormat="1" applyFont="1" applyFill="1" applyAlignment="1">
      <alignment horizontal="left" vertical="center"/>
    </xf>
    <xf numFmtId="49" fontId="41" fillId="5" borderId="0" xfId="0" applyNumberFormat="1" applyFont="1" applyFill="1" applyAlignment="1">
      <alignment horizontal="left" vertical="center"/>
    </xf>
    <xf numFmtId="4" fontId="41" fillId="5" borderId="0" xfId="0" applyNumberFormat="1" applyFont="1" applyFill="1" applyAlignment="1">
      <alignment horizontal="right" vertical="center"/>
    </xf>
    <xf numFmtId="49" fontId="41" fillId="5" borderId="0" xfId="0" applyNumberFormat="1" applyFont="1" applyFill="1" applyAlignment="1">
      <alignment horizontal="right" vertical="center"/>
    </xf>
    <xf numFmtId="0" fontId="40" fillId="0" borderId="7" xfId="0" applyFont="1" applyBorder="1" applyAlignment="1">
      <alignment vertical="center"/>
    </xf>
    <xf numFmtId="4" fontId="41" fillId="0" borderId="7" xfId="0" applyNumberFormat="1" applyFont="1" applyBorder="1" applyAlignment="1">
      <alignment horizontal="right" vertical="center"/>
    </xf>
    <xf numFmtId="0" fontId="30" fillId="6" borderId="1" xfId="23" applyFont="1" applyFill="1" applyBorder="1" applyAlignment="1">
      <alignment vertical="center"/>
      <protection/>
    </xf>
    <xf numFmtId="0" fontId="35" fillId="6" borderId="2" xfId="23" applyFont="1" applyFill="1" applyBorder="1" applyAlignment="1">
      <alignment vertical="center"/>
      <protection/>
    </xf>
    <xf numFmtId="0" fontId="3" fillId="6" borderId="2" xfId="23" applyFont="1" applyFill="1" applyBorder="1" applyAlignment="1">
      <alignment vertical="center"/>
      <protection/>
    </xf>
    <xf numFmtId="2" fontId="3" fillId="6" borderId="2" xfId="23" applyNumberFormat="1" applyFont="1" applyFill="1" applyBorder="1" applyAlignment="1">
      <alignment vertical="center"/>
      <protection/>
    </xf>
    <xf numFmtId="2" fontId="3" fillId="6" borderId="3" xfId="23" applyNumberFormat="1" applyFont="1" applyFill="1" applyBorder="1" applyAlignment="1">
      <alignment vertical="center"/>
      <protection/>
    </xf>
    <xf numFmtId="0" fontId="30" fillId="0" borderId="0" xfId="23" applyFont="1">
      <alignment/>
      <protection/>
    </xf>
    <xf numFmtId="0" fontId="4" fillId="0" borderId="0" xfId="23" applyFont="1">
      <alignment/>
      <protection/>
    </xf>
    <xf numFmtId="2" fontId="4" fillId="0" borderId="0" xfId="23" applyNumberFormat="1" applyFont="1">
      <alignment/>
      <protection/>
    </xf>
    <xf numFmtId="0" fontId="4" fillId="0" borderId="0" xfId="23" applyFont="1" applyAlignment="1">
      <alignment horizontal="left" vertical="center"/>
      <protection/>
    </xf>
    <xf numFmtId="0" fontId="4" fillId="0" borderId="0" xfId="23" applyFont="1" applyAlignment="1">
      <alignment horizontal="center" vertical="center"/>
      <protection/>
    </xf>
    <xf numFmtId="2" fontId="4" fillId="0" borderId="0" xfId="23" applyNumberFormat="1" applyFont="1" applyAlignment="1">
      <alignment horizontal="right" vertical="center"/>
      <protection/>
    </xf>
    <xf numFmtId="0" fontId="4" fillId="0" borderId="1" xfId="23" applyFont="1" applyBorder="1" applyAlignment="1">
      <alignment vertical="center"/>
      <protection/>
    </xf>
    <xf numFmtId="0" fontId="4" fillId="0" borderId="2" xfId="23" applyFont="1" applyBorder="1" applyAlignment="1">
      <alignment horizontal="center" vertical="center"/>
      <protection/>
    </xf>
    <xf numFmtId="0" fontId="35" fillId="0" borderId="2" xfId="23" applyFont="1" applyBorder="1" applyAlignment="1">
      <alignment vertical="center"/>
      <protection/>
    </xf>
    <xf numFmtId="0" fontId="30" fillId="0" borderId="2" xfId="23" applyFont="1" applyBorder="1" applyAlignment="1">
      <alignment vertical="center"/>
      <protection/>
    </xf>
    <xf numFmtId="0" fontId="4" fillId="0" borderId="2" xfId="23" applyFont="1" applyBorder="1" applyAlignment="1">
      <alignment vertical="center"/>
      <protection/>
    </xf>
    <xf numFmtId="2" fontId="4" fillId="0" borderId="2" xfId="23" applyNumberFormat="1" applyFont="1" applyBorder="1" applyAlignment="1">
      <alignment vertical="center"/>
      <protection/>
    </xf>
    <xf numFmtId="2" fontId="4" fillId="0" borderId="3" xfId="23" applyNumberFormat="1" applyFont="1" applyBorder="1" applyAlignment="1">
      <alignment vertical="center"/>
      <protection/>
    </xf>
    <xf numFmtId="0" fontId="4" fillId="0" borderId="0" xfId="23" applyFont="1" applyAlignment="1">
      <alignment horizontal="center"/>
      <protection/>
    </xf>
    <xf numFmtId="0" fontId="4" fillId="0" borderId="0" xfId="23" applyFont="1" applyAlignment="1">
      <alignment vertical="top"/>
      <protection/>
    </xf>
    <xf numFmtId="0" fontId="4" fillId="0" borderId="0" xfId="23" applyFont="1" applyAlignment="1">
      <alignment horizontal="center" vertical="top"/>
      <protection/>
    </xf>
    <xf numFmtId="0" fontId="4" fillId="0" borderId="0" xfId="23" applyFont="1" applyAlignment="1">
      <alignment vertical="top" wrapText="1"/>
      <protection/>
    </xf>
    <xf numFmtId="0" fontId="4" fillId="0" borderId="0" xfId="23" applyFont="1" applyAlignment="1">
      <alignment horizontal="right" vertical="top" wrapText="1"/>
      <protection/>
    </xf>
    <xf numFmtId="0" fontId="4" fillId="0" borderId="0" xfId="23" applyFont="1" applyAlignment="1">
      <alignment horizontal="right" vertical="top"/>
      <protection/>
    </xf>
    <xf numFmtId="2" fontId="4" fillId="0" borderId="0" xfId="23" applyNumberFormat="1" applyFont="1" applyAlignment="1">
      <alignment vertical="top"/>
      <protection/>
    </xf>
    <xf numFmtId="0" fontId="4" fillId="0" borderId="0" xfId="23" applyFont="1" applyAlignment="1">
      <alignment wrapText="1"/>
      <protection/>
    </xf>
    <xf numFmtId="0" fontId="4" fillId="0" borderId="0" xfId="23" applyFont="1" applyAlignment="1">
      <alignment horizontal="right"/>
      <protection/>
    </xf>
    <xf numFmtId="0" fontId="4" fillId="0" borderId="0" xfId="23" applyFont="1" applyAlignment="1">
      <alignment wrapText="1"/>
      <protection/>
    </xf>
    <xf numFmtId="0" fontId="4" fillId="0" borderId="0" xfId="23" applyFont="1" applyAlignment="1">
      <alignment horizontal="right" wrapText="1"/>
      <protection/>
    </xf>
    <xf numFmtId="0" fontId="4" fillId="0" borderId="0" xfId="23" applyFont="1" applyAlignment="1">
      <alignment vertical="top" wrapText="1"/>
      <protection/>
    </xf>
    <xf numFmtId="0" fontId="3" fillId="0" borderId="0" xfId="23" applyFont="1">
      <alignment/>
      <protection/>
    </xf>
    <xf numFmtId="2" fontId="3" fillId="0" borderId="0" xfId="23" applyNumberFormat="1" applyFont="1">
      <alignment/>
      <protection/>
    </xf>
    <xf numFmtId="0" fontId="3" fillId="0" borderId="0" xfId="23" applyFont="1" applyAlignment="1">
      <alignment vertical="center"/>
      <protection/>
    </xf>
    <xf numFmtId="2" fontId="3" fillId="0" borderId="0" xfId="23" applyNumberFormat="1" applyFont="1" applyAlignment="1">
      <alignment vertical="center"/>
      <protection/>
    </xf>
    <xf numFmtId="2" fontId="35" fillId="0" borderId="12" xfId="23" applyNumberFormat="1" applyFont="1" applyBorder="1" applyAlignment="1">
      <alignment vertical="center"/>
      <protection/>
    </xf>
    <xf numFmtId="0" fontId="3" fillId="0" borderId="1" xfId="23" applyFont="1" applyBorder="1" applyAlignment="1">
      <alignment vertical="center"/>
      <protection/>
    </xf>
    <xf numFmtId="0" fontId="3" fillId="0" borderId="2" xfId="23" applyFont="1" applyBorder="1" applyAlignment="1">
      <alignment vertical="center"/>
      <protection/>
    </xf>
    <xf numFmtId="2" fontId="3" fillId="0" borderId="2" xfId="23" applyNumberFormat="1" applyFont="1" applyBorder="1" applyAlignment="1">
      <alignment vertical="center"/>
      <protection/>
    </xf>
    <xf numFmtId="2" fontId="3" fillId="0" borderId="3" xfId="23" applyNumberFormat="1" applyFont="1" applyBorder="1" applyAlignment="1">
      <alignment vertical="center"/>
      <protection/>
    </xf>
    <xf numFmtId="0" fontId="4" fillId="0" borderId="0" xfId="23" applyFont="1" applyAlignment="1">
      <alignment vertical="center"/>
      <protection/>
    </xf>
    <xf numFmtId="2" fontId="4" fillId="0" borderId="0" xfId="23" applyNumberFormat="1" applyFont="1" applyAlignment="1">
      <alignment vertical="center"/>
      <protection/>
    </xf>
    <xf numFmtId="0" fontId="4" fillId="0" borderId="6" xfId="23" applyFont="1" applyBorder="1" applyAlignment="1">
      <alignment vertical="center"/>
      <protection/>
    </xf>
    <xf numFmtId="0" fontId="4" fillId="0" borderId="7" xfId="23" applyFont="1" applyBorder="1" applyAlignment="1">
      <alignment vertical="center"/>
      <protection/>
    </xf>
    <xf numFmtId="2" fontId="4" fillId="0" borderId="7" xfId="23" applyNumberFormat="1" applyFont="1" applyBorder="1" applyAlignment="1">
      <alignment vertical="center"/>
      <protection/>
    </xf>
    <xf numFmtId="2" fontId="4" fillId="0" borderId="8" xfId="23" applyNumberFormat="1" applyFont="1" applyBorder="1" applyAlignment="1">
      <alignment vertical="center"/>
      <protection/>
    </xf>
    <xf numFmtId="0" fontId="35" fillId="0" borderId="4" xfId="23" applyFont="1" applyBorder="1" applyAlignment="1">
      <alignment vertical="center"/>
      <protection/>
    </xf>
    <xf numFmtId="0" fontId="35" fillId="0" borderId="0" xfId="23" applyFont="1" applyAlignment="1">
      <alignment vertical="center"/>
      <protection/>
    </xf>
    <xf numFmtId="2" fontId="35" fillId="0" borderId="0" xfId="23" applyNumberFormat="1" applyFont="1" applyAlignment="1">
      <alignment vertical="center"/>
      <protection/>
    </xf>
    <xf numFmtId="2" fontId="35" fillId="0" borderId="5" xfId="23" applyNumberFormat="1" applyFont="1" applyBorder="1" applyAlignment="1">
      <alignment horizontal="right" vertical="center"/>
      <protection/>
    </xf>
    <xf numFmtId="0" fontId="4" fillId="0" borderId="42" xfId="23" applyFont="1" applyBorder="1" applyAlignment="1">
      <alignment vertical="center"/>
      <protection/>
    </xf>
    <xf numFmtId="0" fontId="4" fillId="0" borderId="30" xfId="23" applyFont="1" applyBorder="1" applyAlignment="1">
      <alignment vertical="center"/>
      <protection/>
    </xf>
    <xf numFmtId="2" fontId="4" fillId="0" borderId="30" xfId="23" applyNumberFormat="1" applyFont="1" applyBorder="1" applyAlignment="1">
      <alignment vertical="center"/>
      <protection/>
    </xf>
    <xf numFmtId="2" fontId="4" fillId="0" borderId="43" xfId="23" applyNumberFormat="1" applyFont="1" applyBorder="1" applyAlignment="1">
      <alignment vertical="center"/>
      <protection/>
    </xf>
    <xf numFmtId="0" fontId="35" fillId="6" borderId="1" xfId="0" applyFont="1" applyFill="1" applyBorder="1" applyAlignment="1">
      <alignment vertical="center"/>
    </xf>
    <xf numFmtId="0" fontId="35" fillId="6" borderId="2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2" fontId="3" fillId="6" borderId="2" xfId="0" applyNumberFormat="1" applyFont="1" applyFill="1" applyBorder="1" applyAlignment="1">
      <alignment vertical="center"/>
    </xf>
    <xf numFmtId="2" fontId="3" fillId="6" borderId="3" xfId="0" applyNumberFormat="1" applyFont="1" applyFill="1" applyBorder="1" applyAlignment="1">
      <alignment vertical="center"/>
    </xf>
    <xf numFmtId="0" fontId="4" fillId="0" borderId="0" xfId="0" applyFont="1"/>
    <xf numFmtId="2" fontId="4" fillId="0" borderId="0" xfId="0" applyNumberFormat="1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0" fontId="35" fillId="0" borderId="1" xfId="0" applyFont="1" applyBorder="1" applyAlignment="1">
      <alignment vertical="center"/>
    </xf>
    <xf numFmtId="0" fontId="35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vertical="center"/>
    </xf>
    <xf numFmtId="2" fontId="35" fillId="0" borderId="2" xfId="0" applyNumberFormat="1" applyFont="1" applyBorder="1" applyAlignment="1">
      <alignment vertical="center"/>
    </xf>
    <xf numFmtId="2" fontId="35" fillId="0" borderId="3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2" fontId="4" fillId="0" borderId="0" xfId="0" applyNumberFormat="1" applyFont="1" applyAlignment="1">
      <alignment vertical="top"/>
    </xf>
    <xf numFmtId="2" fontId="14" fillId="0" borderId="0" xfId="0" applyNumberFormat="1" applyFont="1" applyAlignment="1">
      <alignment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2" fontId="4" fillId="0" borderId="0" xfId="0" applyNumberFormat="1" applyFont="1" applyAlignment="1">
      <alignment vertical="top" wrapText="1"/>
    </xf>
    <xf numFmtId="0" fontId="4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0" fontId="3" fillId="0" borderId="0" xfId="0" applyFont="1"/>
    <xf numFmtId="2" fontId="3" fillId="0" borderId="0" xfId="0" applyNumberFormat="1" applyFont="1"/>
    <xf numFmtId="2" fontId="35" fillId="0" borderId="12" xfId="0" applyNumberFormat="1" applyFont="1" applyBorder="1"/>
    <xf numFmtId="0" fontId="30" fillId="0" borderId="1" xfId="0" applyFont="1" applyBorder="1"/>
    <xf numFmtId="0" fontId="30" fillId="0" borderId="2" xfId="0" applyFont="1" applyBorder="1"/>
    <xf numFmtId="2" fontId="30" fillId="0" borderId="2" xfId="0" applyNumberFormat="1" applyFont="1" applyBorder="1"/>
    <xf numFmtId="2" fontId="30" fillId="0" borderId="3" xfId="0" applyNumberFormat="1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vertical="top" wrapText="1"/>
    </xf>
    <xf numFmtId="0" fontId="14" fillId="0" borderId="0" xfId="0" applyFont="1" applyAlignment="1">
      <alignment vertical="top" wrapText="1"/>
    </xf>
    <xf numFmtId="2" fontId="4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5" fillId="0" borderId="2" xfId="0" applyFont="1" applyBorder="1"/>
    <xf numFmtId="2" fontId="3" fillId="0" borderId="2" xfId="0" applyNumberFormat="1" applyFont="1" applyBorder="1"/>
    <xf numFmtId="2" fontId="3" fillId="0" borderId="3" xfId="0" applyNumberFormat="1" applyFont="1" applyBorder="1"/>
    <xf numFmtId="2" fontId="35" fillId="0" borderId="0" xfId="0" applyNumberFormat="1" applyFont="1"/>
    <xf numFmtId="171" fontId="4" fillId="0" borderId="0" xfId="0" applyNumberFormat="1" applyFont="1"/>
    <xf numFmtId="0" fontId="4" fillId="0" borderId="6" xfId="0" applyFont="1" applyBorder="1"/>
    <xf numFmtId="0" fontId="4" fillId="0" borderId="7" xfId="0" applyFont="1" applyBorder="1"/>
    <xf numFmtId="2" fontId="4" fillId="0" borderId="7" xfId="0" applyNumberFormat="1" applyFont="1" applyBorder="1"/>
    <xf numFmtId="2" fontId="3" fillId="0" borderId="8" xfId="0" applyNumberFormat="1" applyFont="1" applyBorder="1"/>
    <xf numFmtId="0" fontId="35" fillId="0" borderId="4" xfId="0" applyFont="1" applyBorder="1"/>
    <xf numFmtId="0" fontId="35" fillId="0" borderId="0" xfId="0" applyFont="1"/>
    <xf numFmtId="2" fontId="35" fillId="0" borderId="5" xfId="0" applyNumberFormat="1" applyFont="1" applyBorder="1"/>
    <xf numFmtId="0" fontId="4" fillId="0" borderId="42" xfId="0" applyFont="1" applyBorder="1"/>
    <xf numFmtId="0" fontId="4" fillId="0" borderId="30" xfId="0" applyFont="1" applyBorder="1"/>
    <xf numFmtId="2" fontId="4" fillId="0" borderId="30" xfId="0" applyNumberFormat="1" applyFont="1" applyBorder="1"/>
    <xf numFmtId="2" fontId="4" fillId="0" borderId="43" xfId="0" applyNumberFormat="1" applyFont="1" applyBorder="1"/>
    <xf numFmtId="0" fontId="4" fillId="0" borderId="0" xfId="24" applyAlignment="1">
      <alignment horizontal="center" vertical="center" wrapText="1"/>
      <protection/>
    </xf>
    <xf numFmtId="0" fontId="4" fillId="0" borderId="4" xfId="24" applyBorder="1" applyAlignment="1">
      <alignment horizontal="center" vertical="center" wrapText="1"/>
      <protection/>
    </xf>
    <xf numFmtId="0" fontId="26" fillId="4" borderId="18" xfId="24" applyFont="1" applyFill="1" applyBorder="1" applyAlignment="1">
      <alignment horizontal="center" vertical="center" wrapText="1"/>
      <protection/>
    </xf>
    <xf numFmtId="0" fontId="26" fillId="4" borderId="19" xfId="24" applyFont="1" applyFill="1" applyBorder="1" applyAlignment="1">
      <alignment horizontal="center" vertical="center" wrapText="1"/>
      <protection/>
    </xf>
    <xf numFmtId="0" fontId="26" fillId="4" borderId="20" xfId="24" applyFont="1" applyFill="1" applyBorder="1" applyAlignment="1">
      <alignment horizontal="center" vertical="center" wrapText="1"/>
      <protection/>
    </xf>
    <xf numFmtId="0" fontId="4" fillId="0" borderId="0" xfId="24" applyAlignment="1">
      <alignment vertical="center"/>
      <protection/>
    </xf>
    <xf numFmtId="0" fontId="4" fillId="0" borderId="4" xfId="24" applyBorder="1" applyAlignment="1">
      <alignment vertical="center"/>
      <protection/>
    </xf>
    <xf numFmtId="0" fontId="28" fillId="0" borderId="0" xfId="24" applyFont="1" applyAlignment="1">
      <alignment horizontal="left" vertical="center"/>
      <protection/>
    </xf>
    <xf numFmtId="4" fontId="28" fillId="0" borderId="0" xfId="24" applyNumberFormat="1" applyFont="1">
      <alignment/>
      <protection/>
    </xf>
    <xf numFmtId="0" fontId="4" fillId="0" borderId="21" xfId="24" applyBorder="1" applyAlignment="1">
      <alignment vertical="center"/>
      <protection/>
    </xf>
    <xf numFmtId="0" fontId="4" fillId="0" borderId="22" xfId="24" applyBorder="1" applyAlignment="1">
      <alignment vertical="center"/>
      <protection/>
    </xf>
    <xf numFmtId="169" fontId="29" fillId="0" borderId="22" xfId="24" applyNumberFormat="1" applyFont="1" applyBorder="1">
      <alignment/>
      <protection/>
    </xf>
    <xf numFmtId="169" fontId="29" fillId="0" borderId="23" xfId="24" applyNumberFormat="1" applyFont="1" applyBorder="1">
      <alignment/>
      <protection/>
    </xf>
    <xf numFmtId="0" fontId="4" fillId="0" borderId="0" xfId="24" applyAlignment="1">
      <alignment horizontal="left" vertical="center"/>
      <protection/>
    </xf>
    <xf numFmtId="0" fontId="31" fillId="0" borderId="0" xfId="24" applyFont="1">
      <alignment/>
      <protection/>
    </xf>
    <xf numFmtId="0" fontId="31" fillId="0" borderId="4" xfId="24" applyFont="1" applyBorder="1">
      <alignment/>
      <protection/>
    </xf>
    <xf numFmtId="0" fontId="32" fillId="0" borderId="0" xfId="24" applyFont="1" applyAlignment="1">
      <alignment horizontal="left"/>
      <protection/>
    </xf>
    <xf numFmtId="4" fontId="32" fillId="0" borderId="0" xfId="24" applyNumberFormat="1" applyFont="1">
      <alignment/>
      <protection/>
    </xf>
    <xf numFmtId="0" fontId="31" fillId="0" borderId="24" xfId="24" applyFont="1" applyBorder="1">
      <alignment/>
      <protection/>
    </xf>
    <xf numFmtId="169" fontId="31" fillId="0" borderId="0" xfId="24" applyNumberFormat="1" applyFont="1">
      <alignment/>
      <protection/>
    </xf>
    <xf numFmtId="169" fontId="31" fillId="0" borderId="25" xfId="24" applyNumberFormat="1" applyFont="1" applyBorder="1">
      <alignment/>
      <protection/>
    </xf>
    <xf numFmtId="0" fontId="33" fillId="0" borderId="0" xfId="24" applyFont="1" applyAlignment="1">
      <alignment horizontal="left"/>
      <protection/>
    </xf>
    <xf numFmtId="4" fontId="33" fillId="0" borderId="0" xfId="24" applyNumberFormat="1" applyFont="1">
      <alignment/>
      <protection/>
    </xf>
    <xf numFmtId="169" fontId="27" fillId="0" borderId="0" xfId="24" applyNumberFormat="1" applyFont="1" applyAlignment="1">
      <alignment vertical="center"/>
      <protection/>
    </xf>
    <xf numFmtId="4" fontId="4" fillId="0" borderId="0" xfId="24" applyNumberFormat="1" applyAlignment="1">
      <alignment vertical="center"/>
      <protection/>
    </xf>
    <xf numFmtId="0" fontId="4" fillId="0" borderId="42" xfId="24" applyBorder="1" applyAlignment="1">
      <alignment vertical="center"/>
      <protection/>
    </xf>
    <xf numFmtId="0" fontId="4" fillId="0" borderId="30" xfId="24" applyBorder="1" applyAlignment="1">
      <alignment vertical="center"/>
      <protection/>
    </xf>
    <xf numFmtId="166" fontId="18" fillId="0" borderId="1" xfId="0" applyNumberFormat="1" applyFont="1" applyBorder="1" applyAlignment="1">
      <alignment horizontal="center"/>
    </xf>
    <xf numFmtId="49" fontId="40" fillId="0" borderId="0" xfId="0" applyNumberFormat="1" applyFont="1" applyFill="1" applyAlignment="1">
      <alignment horizontal="left" vertical="center"/>
    </xf>
    <xf numFmtId="4" fontId="40" fillId="0" borderId="0" xfId="0" applyNumberFormat="1" applyFont="1" applyFill="1" applyAlignment="1">
      <alignment horizontal="right" vertical="center"/>
    </xf>
    <xf numFmtId="0" fontId="26" fillId="0" borderId="26" xfId="24" applyFont="1" applyFill="1" applyBorder="1" applyAlignment="1">
      <alignment horizontal="center" vertical="center"/>
      <protection/>
    </xf>
    <xf numFmtId="49" fontId="26" fillId="0" borderId="26" xfId="24" applyNumberFormat="1" applyFont="1" applyFill="1" applyBorder="1" applyAlignment="1">
      <alignment horizontal="left" vertical="center" wrapText="1"/>
      <protection/>
    </xf>
    <xf numFmtId="0" fontId="26" fillId="0" borderId="26" xfId="24" applyFont="1" applyFill="1" applyBorder="1" applyAlignment="1">
      <alignment horizontal="left" vertical="center" wrapText="1"/>
      <protection/>
    </xf>
    <xf numFmtId="0" fontId="26" fillId="0" borderId="26" xfId="24" applyFont="1" applyFill="1" applyBorder="1" applyAlignment="1">
      <alignment horizontal="center" vertical="center" wrapText="1"/>
      <protection/>
    </xf>
    <xf numFmtId="170" fontId="26" fillId="0" borderId="26" xfId="24" applyNumberFormat="1" applyFont="1" applyFill="1" applyBorder="1" applyAlignment="1">
      <alignment vertical="center"/>
      <protection/>
    </xf>
    <xf numFmtId="4" fontId="26" fillId="0" borderId="26" xfId="24" applyNumberFormat="1" applyFont="1" applyFill="1" applyBorder="1" applyAlignment="1">
      <alignment vertical="center"/>
      <protection/>
    </xf>
    <xf numFmtId="166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2" fontId="4" fillId="0" borderId="15" xfId="0" applyNumberFormat="1" applyFont="1" applyFill="1" applyBorder="1" applyAlignment="1">
      <alignment horizontal="right"/>
    </xf>
    <xf numFmtId="168" fontId="4" fillId="0" borderId="15" xfId="0" applyNumberFormat="1" applyFont="1" applyFill="1" applyBorder="1" applyAlignment="1">
      <alignment horizontal="right"/>
    </xf>
    <xf numFmtId="4" fontId="4" fillId="0" borderId="47" xfId="37" applyNumberFormat="1" applyFont="1" applyBorder="1" applyAlignment="1" applyProtection="1">
      <alignment vertical="center" wrapText="1"/>
      <protection locked="0"/>
    </xf>
    <xf numFmtId="4" fontId="40" fillId="0" borderId="0" xfId="0" applyNumberFormat="1" applyFont="1" applyFill="1" applyBorder="1" applyAlignment="1" applyProtection="1">
      <alignment horizontal="right" vertical="center"/>
      <protection locked="0"/>
    </xf>
    <xf numFmtId="4" fontId="40" fillId="0" borderId="30" xfId="0" applyNumberFormat="1" applyFont="1" applyFill="1" applyBorder="1" applyAlignment="1" applyProtection="1">
      <alignment horizontal="right" vertical="center"/>
      <protection locked="0"/>
    </xf>
    <xf numFmtId="168" fontId="4" fillId="0" borderId="15" xfId="0" applyNumberFormat="1" applyFont="1" applyFill="1" applyBorder="1" applyAlignment="1" applyProtection="1">
      <alignment horizontal="right"/>
      <protection locked="0"/>
    </xf>
    <xf numFmtId="168" fontId="4" fillId="0" borderId="15" xfId="0" applyNumberFormat="1" applyFont="1" applyBorder="1" applyAlignment="1" applyProtection="1">
      <alignment horizontal="right"/>
      <protection locked="0"/>
    </xf>
    <xf numFmtId="4" fontId="26" fillId="0" borderId="26" xfId="24" applyNumberFormat="1" applyFont="1" applyFill="1" applyBorder="1" applyAlignment="1" applyProtection="1">
      <alignment vertical="center"/>
      <protection locked="0"/>
    </xf>
    <xf numFmtId="4" fontId="26" fillId="0" borderId="26" xfId="24" applyNumberFormat="1" applyFont="1" applyBorder="1" applyAlignment="1" applyProtection="1">
      <alignment vertical="center"/>
      <protection locked="0"/>
    </xf>
    <xf numFmtId="0" fontId="31" fillId="0" borderId="0" xfId="24" applyFont="1" applyAlignment="1" applyProtection="1">
      <alignment/>
      <protection locked="0"/>
    </xf>
    <xf numFmtId="168" fontId="21" fillId="0" borderId="15" xfId="0" applyNumberFormat="1" applyFont="1" applyBorder="1" applyAlignment="1" applyProtection="1">
      <alignment horizontal="right"/>
      <protection locked="0"/>
    </xf>
    <xf numFmtId="168" fontId="18" fillId="0" borderId="15" xfId="0" applyNumberFormat="1" applyFont="1" applyBorder="1" applyAlignment="1" applyProtection="1">
      <alignment horizontal="right"/>
      <protection locked="0"/>
    </xf>
    <xf numFmtId="168" fontId="22" fillId="0" borderId="15" xfId="0" applyNumberFormat="1" applyFont="1" applyBorder="1" applyAlignment="1" applyProtection="1">
      <alignment horizontal="right"/>
      <protection locked="0"/>
    </xf>
    <xf numFmtId="168" fontId="18" fillId="0" borderId="17" xfId="0" applyNumberFormat="1" applyFont="1" applyBorder="1" applyAlignment="1" applyProtection="1">
      <alignment horizontal="right"/>
      <protection locked="0"/>
    </xf>
    <xf numFmtId="168" fontId="21" fillId="0" borderId="15" xfId="0" applyNumberFormat="1" applyFont="1" applyFill="1" applyBorder="1" applyAlignment="1" applyProtection="1">
      <alignment horizontal="right"/>
      <protection locked="0"/>
    </xf>
    <xf numFmtId="168" fontId="18" fillId="0" borderId="15" xfId="0" applyNumberFormat="1" applyFont="1" applyFill="1" applyBorder="1" applyAlignment="1" applyProtection="1">
      <alignment horizontal="right"/>
      <protection locked="0"/>
    </xf>
    <xf numFmtId="168" fontId="18" fillId="0" borderId="17" xfId="0" applyNumberFormat="1" applyFont="1" applyFill="1" applyBorder="1" applyAlignment="1" applyProtection="1">
      <alignment horizontal="right"/>
      <protection locked="0"/>
    </xf>
    <xf numFmtId="168" fontId="22" fillId="0" borderId="15" xfId="0" applyNumberFormat="1" applyFont="1" applyFill="1" applyBorder="1" applyAlignment="1" applyProtection="1">
      <alignment horizontal="right"/>
      <protection locked="0"/>
    </xf>
    <xf numFmtId="2" fontId="4" fillId="0" borderId="0" xfId="23" applyNumberFormat="1" applyFont="1" applyAlignment="1" applyProtection="1">
      <alignment vertical="top"/>
      <protection locked="0"/>
    </xf>
    <xf numFmtId="2" fontId="4" fillId="0" borderId="0" xfId="23" applyNumberFormat="1" applyFont="1" applyProtection="1">
      <alignment/>
      <protection locked="0"/>
    </xf>
    <xf numFmtId="2" fontId="4" fillId="0" borderId="0" xfId="0" applyNumberFormat="1" applyFont="1" applyAlignment="1" applyProtection="1">
      <alignment vertical="top"/>
      <protection locked="0"/>
    </xf>
    <xf numFmtId="2" fontId="4" fillId="0" borderId="0" xfId="0" applyNumberFormat="1" applyFont="1" applyAlignment="1" applyProtection="1">
      <alignment vertical="top" wrapText="1"/>
      <protection locked="0"/>
    </xf>
    <xf numFmtId="2" fontId="4" fillId="0" borderId="0" xfId="0" applyNumberFormat="1" applyFont="1" applyAlignment="1" applyProtection="1">
      <alignment wrapText="1"/>
      <protection locked="0"/>
    </xf>
    <xf numFmtId="2" fontId="14" fillId="0" borderId="0" xfId="0" applyNumberFormat="1" applyFont="1" applyAlignment="1" applyProtection="1">
      <alignment vertical="top" wrapText="1"/>
      <protection locked="0"/>
    </xf>
    <xf numFmtId="2" fontId="4" fillId="0" borderId="0" xfId="0" applyNumberFormat="1" applyFont="1" applyAlignment="1" applyProtection="1">
      <alignment horizontal="right"/>
      <protection locked="0"/>
    </xf>
    <xf numFmtId="2" fontId="4" fillId="0" borderId="0" xfId="0" applyNumberFormat="1" applyFont="1" applyAlignment="1" applyProtection="1">
      <alignment horizontal="right" wrapText="1"/>
      <protection locked="0"/>
    </xf>
    <xf numFmtId="2" fontId="4" fillId="0" borderId="0" xfId="23" applyNumberFormat="1" applyFont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4" fontId="40" fillId="0" borderId="0" xfId="0" applyNumberFormat="1" applyFont="1" applyFill="1" applyAlignment="1" applyProtection="1">
      <alignment horizontal="right" vertical="center"/>
      <protection locked="0"/>
    </xf>
    <xf numFmtId="168" fontId="24" fillId="0" borderId="15" xfId="0" applyNumberFormat="1" applyFont="1" applyBorder="1" applyAlignment="1" applyProtection="1">
      <alignment horizontal="right" vertical="center"/>
      <protection locked="0"/>
    </xf>
    <xf numFmtId="168" fontId="24" fillId="0" borderId="15" xfId="0" applyNumberFormat="1" applyFont="1" applyBorder="1" applyAlignment="1" applyProtection="1">
      <alignment horizontal="right"/>
      <protection locked="0"/>
    </xf>
    <xf numFmtId="0" fontId="11" fillId="0" borderId="15" xfId="28" applyFont="1" applyBorder="1" applyAlignment="1">
      <alignment horizontal="left"/>
      <protection/>
    </xf>
    <xf numFmtId="0" fontId="7" fillId="0" borderId="0" xfId="28" applyFont="1" applyBorder="1" applyAlignment="1">
      <alignment horizontal="center"/>
      <protection/>
    </xf>
    <xf numFmtId="0" fontId="1" fillId="0" borderId="0" xfId="28" applyFont="1" applyBorder="1" applyAlignment="1">
      <alignment horizontal="center"/>
      <protection/>
    </xf>
    <xf numFmtId="0" fontId="14" fillId="0" borderId="0" xfId="28" applyFont="1" applyBorder="1" applyAlignment="1">
      <alignment horizontal="justify" wrapText="1"/>
      <protection/>
    </xf>
    <xf numFmtId="0" fontId="14" fillId="0" borderId="0" xfId="29" applyFont="1" applyBorder="1" applyAlignment="1">
      <alignment horizontal="left" wrapText="1"/>
      <protection/>
    </xf>
    <xf numFmtId="0" fontId="14" fillId="0" borderId="0" xfId="28" applyFont="1" applyBorder="1" applyAlignment="1">
      <alignment horizontal="left" wrapText="1"/>
      <protection/>
    </xf>
    <xf numFmtId="166" fontId="18" fillId="0" borderId="12" xfId="0" applyNumberFormat="1" applyFont="1" applyBorder="1" applyAlignment="1" applyProtection="1">
      <alignment horizontal="center"/>
      <protection/>
    </xf>
    <xf numFmtId="0" fontId="14" fillId="0" borderId="0" xfId="36" applyFont="1" applyBorder="1" applyAlignment="1" applyProtection="1">
      <alignment vertical="center" wrapText="1"/>
      <protection/>
    </xf>
    <xf numFmtId="166" fontId="18" fillId="0" borderId="12" xfId="0" applyNumberFormat="1" applyFont="1" applyBorder="1" applyAlignment="1">
      <alignment horizontal="center"/>
    </xf>
    <xf numFmtId="0" fontId="14" fillId="0" borderId="0" xfId="36" applyFont="1" applyAlignment="1">
      <alignment vertical="center" wrapText="1"/>
      <protection/>
    </xf>
    <xf numFmtId="49" fontId="41" fillId="0" borderId="48" xfId="0" applyNumberFormat="1" applyFont="1" applyFill="1" applyBorder="1" applyAlignment="1" applyProtection="1">
      <alignment horizontal="center" vertical="center"/>
      <protection/>
    </xf>
    <xf numFmtId="0" fontId="41" fillId="0" borderId="49" xfId="0" applyNumberFormat="1" applyFont="1" applyFill="1" applyBorder="1" applyAlignment="1" applyProtection="1">
      <alignment horizontal="center" vertical="center"/>
      <protection/>
    </xf>
    <xf numFmtId="0" fontId="41" fillId="0" borderId="50" xfId="0" applyNumberFormat="1" applyFont="1" applyFill="1" applyBorder="1" applyAlignment="1" applyProtection="1">
      <alignment horizontal="center" vertical="center"/>
      <protection/>
    </xf>
    <xf numFmtId="49" fontId="41" fillId="5" borderId="41" xfId="0" applyNumberFormat="1" applyFont="1" applyFill="1" applyBorder="1" applyAlignment="1" applyProtection="1">
      <alignment horizontal="left" vertical="center"/>
      <protection/>
    </xf>
    <xf numFmtId="0" fontId="41" fillId="5" borderId="41" xfId="0" applyNumberFormat="1" applyFont="1" applyFill="1" applyBorder="1" applyAlignment="1" applyProtection="1">
      <alignment horizontal="left" vertical="center"/>
      <protection/>
    </xf>
    <xf numFmtId="49" fontId="41" fillId="5" borderId="0" xfId="0" applyNumberFormat="1" applyFont="1" applyFill="1" applyBorder="1" applyAlignment="1" applyProtection="1">
      <alignment horizontal="left" vertical="center"/>
      <protection/>
    </xf>
    <xf numFmtId="0" fontId="41" fillId="5" borderId="0" xfId="0" applyNumberFormat="1" applyFont="1" applyFill="1" applyBorder="1" applyAlignment="1" applyProtection="1">
      <alignment horizontal="left" vertical="center"/>
      <protection/>
    </xf>
    <xf numFmtId="49" fontId="41" fillId="0" borderId="7" xfId="0" applyNumberFormat="1" applyFont="1" applyFill="1" applyBorder="1" applyAlignment="1" applyProtection="1">
      <alignment horizontal="left" vertical="center"/>
      <protection/>
    </xf>
    <xf numFmtId="0" fontId="41" fillId="0" borderId="7" xfId="0" applyNumberFormat="1" applyFont="1" applyFill="1" applyBorder="1" applyAlignment="1" applyProtection="1">
      <alignment horizontal="left" vertical="center"/>
      <protection/>
    </xf>
    <xf numFmtId="49" fontId="41" fillId="0" borderId="7" xfId="0" applyNumberFormat="1" applyFont="1" applyBorder="1" applyAlignment="1">
      <alignment horizontal="left" vertical="center"/>
    </xf>
    <xf numFmtId="0" fontId="41" fillId="0" borderId="7" xfId="0" applyFont="1" applyBorder="1" applyAlignment="1">
      <alignment horizontal="left" vertical="center"/>
    </xf>
    <xf numFmtId="49" fontId="41" fillId="0" borderId="48" xfId="0" applyNumberFormat="1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49" fontId="41" fillId="5" borderId="41" xfId="0" applyNumberFormat="1" applyFont="1" applyFill="1" applyBorder="1" applyAlignment="1">
      <alignment horizontal="left" vertical="center"/>
    </xf>
    <xf numFmtId="0" fontId="41" fillId="5" borderId="41" xfId="0" applyFont="1" applyFill="1" applyBorder="1" applyAlignment="1">
      <alignment horizontal="left" vertical="center"/>
    </xf>
    <xf numFmtId="49" fontId="41" fillId="5" borderId="0" xfId="0" applyNumberFormat="1" applyFont="1" applyFill="1" applyAlignment="1">
      <alignment horizontal="left" vertical="center"/>
    </xf>
    <xf numFmtId="0" fontId="41" fillId="5" borderId="0" xfId="0" applyFont="1" applyFill="1" applyAlignment="1">
      <alignment horizontal="left" vertical="center"/>
    </xf>
    <xf numFmtId="0" fontId="4" fillId="0" borderId="3" xfId="37" applyFont="1" applyBorder="1" applyAlignment="1">
      <alignment horizontal="center" vertical="center" wrapText="1"/>
      <protection/>
    </xf>
    <xf numFmtId="166" fontId="18" fillId="0" borderId="12" xfId="0" applyNumberFormat="1" applyFont="1" applyFill="1" applyBorder="1" applyAlignment="1" applyProtection="1">
      <alignment horizontal="center"/>
      <protection/>
    </xf>
    <xf numFmtId="0" fontId="14" fillId="0" borderId="0" xfId="36" applyFont="1" applyFill="1" applyBorder="1" applyAlignment="1" applyProtection="1">
      <alignment vertical="center" wrapText="1"/>
      <protection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ower Voltage Bill 08.06" xfId="20"/>
    <cellStyle name="Normale_Complete_official_price_list_2007CZ" xfId="21"/>
    <cellStyle name="Normální 10" xfId="22"/>
    <cellStyle name="normální 11" xfId="23"/>
    <cellStyle name="normální 12" xfId="24"/>
    <cellStyle name="Normální 2" xfId="25"/>
    <cellStyle name="normální 2 2" xfId="26"/>
    <cellStyle name="normální 3" xfId="27"/>
    <cellStyle name="Normální 3 2" xfId="28"/>
    <cellStyle name="normální 4" xfId="29"/>
    <cellStyle name="Normální 5" xfId="30"/>
    <cellStyle name="Normální 6" xfId="31"/>
    <cellStyle name="Normální 7" xfId="32"/>
    <cellStyle name="Normální 8" xfId="33"/>
    <cellStyle name="Normální 8 2" xfId="34"/>
    <cellStyle name="normální 9" xfId="35"/>
    <cellStyle name="normální_POL.XLS" xfId="36"/>
    <cellStyle name="normální_POL.XLS 3" xfId="37"/>
    <cellStyle name="Styl 1" xfId="38"/>
    <cellStyle name="Währung" xfId="39"/>
    <cellStyle name="標準_IPS alpha BOQ ME forms detail_Mechanical_El.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6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28575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28575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vancigerovaR\AppData\Local\Microsoft\Windows\INetCache\Content.Outlook\T1UAM95A\Users\Michal\Desktop\ROZPO&#268;TY\CHV&#193;TAL\REVOLU&#268;N&#205;%2014%20-%20OPRAVA%20ST&#344;ECHY\Podklady\Expedice\Expedice\hromosvody\rozpo&#269;et%20s%20cenou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0FCC6DD\rozpo&#269;et%20s%20cenou%20el.p&#367;d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8AF6088\rozpo&#269;et%20s%20cenou%20el.p&#367;d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rekapitulace roz.  vč. kapitol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f.1.4.5. zzti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f.1.4.5. zzti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0"/>
  <sheetViews>
    <sheetView showGridLines="0" tabSelected="1" zoomScalePageLayoutView="75" workbookViewId="0" topLeftCell="B1">
      <selection activeCell="G15" sqref="G15"/>
    </sheetView>
  </sheetViews>
  <sheetFormatPr defaultColWidth="9.140625" defaultRowHeight="15"/>
  <cols>
    <col min="1" max="1" width="0.5625" style="1" hidden="1" customWidth="1"/>
    <col min="2" max="2" width="7.140625" style="1" customWidth="1"/>
    <col min="3" max="3" width="13.421875" style="1" customWidth="1"/>
    <col min="4" max="4" width="19.7109375" style="1" customWidth="1"/>
    <col min="5" max="5" width="18.57421875" style="1" customWidth="1"/>
    <col min="6" max="6" width="13.140625" style="1" customWidth="1"/>
    <col min="7" max="7" width="16.7109375" style="2" customWidth="1"/>
    <col min="8" max="8" width="16.7109375" style="1" customWidth="1"/>
    <col min="9" max="9" width="17.00390625" style="2" customWidth="1"/>
    <col min="10" max="10" width="20.7109375" style="1" customWidth="1"/>
    <col min="11" max="11" width="17.8515625" style="1" customWidth="1"/>
    <col min="12" max="14" width="10.7109375" style="1" customWidth="1"/>
    <col min="15" max="256" width="9.140625" style="1" customWidth="1"/>
    <col min="257" max="257" width="11.57421875" style="1" hidden="1" customWidth="1"/>
    <col min="258" max="258" width="7.140625" style="1" customWidth="1"/>
    <col min="259" max="259" width="13.421875" style="1" customWidth="1"/>
    <col min="260" max="260" width="19.7109375" style="1" customWidth="1"/>
    <col min="261" max="261" width="18.57421875" style="1" customWidth="1"/>
    <col min="262" max="262" width="13.140625" style="1" customWidth="1"/>
    <col min="263" max="264" width="16.7109375" style="1" customWidth="1"/>
    <col min="265" max="265" width="17.00390625" style="1" customWidth="1"/>
    <col min="266" max="266" width="20.7109375" style="1" customWidth="1"/>
    <col min="267" max="267" width="17.8515625" style="1" customWidth="1"/>
    <col min="268" max="270" width="10.7109375" style="1" customWidth="1"/>
    <col min="271" max="512" width="9.140625" style="1" customWidth="1"/>
    <col min="513" max="513" width="11.57421875" style="1" hidden="1" customWidth="1"/>
    <col min="514" max="514" width="7.140625" style="1" customWidth="1"/>
    <col min="515" max="515" width="13.421875" style="1" customWidth="1"/>
    <col min="516" max="516" width="19.7109375" style="1" customWidth="1"/>
    <col min="517" max="517" width="18.57421875" style="1" customWidth="1"/>
    <col min="518" max="518" width="13.140625" style="1" customWidth="1"/>
    <col min="519" max="520" width="16.7109375" style="1" customWidth="1"/>
    <col min="521" max="521" width="17.00390625" style="1" customWidth="1"/>
    <col min="522" max="522" width="20.7109375" style="1" customWidth="1"/>
    <col min="523" max="523" width="17.8515625" style="1" customWidth="1"/>
    <col min="524" max="526" width="10.7109375" style="1" customWidth="1"/>
    <col min="527" max="768" width="9.140625" style="1" customWidth="1"/>
    <col min="769" max="769" width="11.57421875" style="1" hidden="1" customWidth="1"/>
    <col min="770" max="770" width="7.140625" style="1" customWidth="1"/>
    <col min="771" max="771" width="13.421875" style="1" customWidth="1"/>
    <col min="772" max="772" width="19.7109375" style="1" customWidth="1"/>
    <col min="773" max="773" width="18.57421875" style="1" customWidth="1"/>
    <col min="774" max="774" width="13.140625" style="1" customWidth="1"/>
    <col min="775" max="776" width="16.7109375" style="1" customWidth="1"/>
    <col min="777" max="777" width="17.00390625" style="1" customWidth="1"/>
    <col min="778" max="778" width="20.7109375" style="1" customWidth="1"/>
    <col min="779" max="779" width="17.8515625" style="1" customWidth="1"/>
    <col min="780" max="782" width="10.7109375" style="1" customWidth="1"/>
    <col min="783" max="1024" width="9.140625" style="1" customWidth="1"/>
  </cols>
  <sheetData>
    <row r="1" spans="1:8" ht="12" customHeight="1">
      <c r="A1" s="62"/>
      <c r="B1" s="62"/>
      <c r="C1" s="62"/>
      <c r="D1" s="62"/>
      <c r="E1" s="62"/>
      <c r="F1" s="62"/>
      <c r="H1" s="62"/>
    </row>
    <row r="2" spans="1:10" ht="17.25" customHeight="1">
      <c r="A2" s="62"/>
      <c r="B2" s="699" t="s">
        <v>1452</v>
      </c>
      <c r="C2" s="699"/>
      <c r="D2" s="699"/>
      <c r="E2" s="699"/>
      <c r="F2" s="699"/>
      <c r="G2" s="699"/>
      <c r="H2" s="699"/>
      <c r="I2" s="699"/>
      <c r="J2" s="3"/>
    </row>
    <row r="3" spans="1:10" ht="17.25" customHeight="1">
      <c r="A3" s="62"/>
      <c r="B3" s="4"/>
      <c r="C3" s="5"/>
      <c r="D3" s="5"/>
      <c r="E3" s="5"/>
      <c r="F3" s="5"/>
      <c r="G3" s="5"/>
      <c r="H3" s="5"/>
      <c r="I3" s="5"/>
      <c r="J3" s="3"/>
    </row>
    <row r="4" spans="1:9" ht="12.75" customHeight="1">
      <c r="A4" s="62"/>
      <c r="B4" s="700" t="s">
        <v>1478</v>
      </c>
      <c r="C4" s="700"/>
      <c r="D4" s="700"/>
      <c r="E4" s="700"/>
      <c r="F4" s="700"/>
      <c r="G4" s="700"/>
      <c r="H4" s="700"/>
      <c r="I4" s="700"/>
    </row>
    <row r="5" spans="1:8" ht="12.75" customHeight="1">
      <c r="A5" s="62"/>
      <c r="B5" s="62"/>
      <c r="C5" s="62"/>
      <c r="D5" s="62"/>
      <c r="E5" s="62"/>
      <c r="F5" s="62"/>
      <c r="H5" s="62"/>
    </row>
    <row r="6" spans="1:14" ht="21" customHeight="1">
      <c r="A6" s="62"/>
      <c r="B6" s="62"/>
      <c r="C6" s="6" t="s">
        <v>0</v>
      </c>
      <c r="D6" s="7" t="s">
        <v>1</v>
      </c>
      <c r="E6" s="8"/>
      <c r="F6" s="8"/>
      <c r="G6" s="8"/>
      <c r="H6" s="8"/>
      <c r="I6" s="9"/>
      <c r="N6" s="10"/>
    </row>
    <row r="7" spans="1:14" ht="21" customHeight="1">
      <c r="A7" s="62"/>
      <c r="B7" s="62"/>
      <c r="C7" s="6"/>
      <c r="D7" s="7" t="s">
        <v>1434</v>
      </c>
      <c r="E7" s="8"/>
      <c r="F7" s="8"/>
      <c r="G7" s="8"/>
      <c r="H7" s="8"/>
      <c r="I7" s="9"/>
      <c r="N7" s="10"/>
    </row>
    <row r="8" spans="1:14" ht="13.5" customHeight="1">
      <c r="A8" s="62"/>
      <c r="B8" s="62"/>
      <c r="C8" s="6"/>
      <c r="D8" s="11"/>
      <c r="E8" s="12"/>
      <c r="F8" s="12"/>
      <c r="G8" s="12"/>
      <c r="H8" s="13"/>
      <c r="I8" s="9"/>
      <c r="N8" s="10"/>
    </row>
    <row r="9" spans="1:10" ht="15">
      <c r="A9" s="62"/>
      <c r="B9" s="62"/>
      <c r="C9" s="14" t="s">
        <v>2</v>
      </c>
      <c r="D9" s="15" t="s">
        <v>1477</v>
      </c>
      <c r="E9" s="62"/>
      <c r="F9" s="62"/>
      <c r="H9" s="16"/>
      <c r="J9" s="15"/>
    </row>
    <row r="10" spans="1:10" ht="15">
      <c r="A10" s="62"/>
      <c r="B10" s="62"/>
      <c r="C10" s="15"/>
      <c r="D10" s="15"/>
      <c r="E10" s="62"/>
      <c r="F10" s="62"/>
      <c r="H10" s="16"/>
      <c r="J10" s="15"/>
    </row>
    <row r="11" spans="1:10" ht="15">
      <c r="A11" s="62"/>
      <c r="B11" s="62"/>
      <c r="C11" s="14" t="s">
        <v>3</v>
      </c>
      <c r="D11" s="17" t="s">
        <v>4</v>
      </c>
      <c r="E11" s="62"/>
      <c r="F11" s="62"/>
      <c r="H11" s="16"/>
      <c r="J11" s="15"/>
    </row>
    <row r="12" spans="1:10" ht="15">
      <c r="A12" s="62"/>
      <c r="B12" s="62"/>
      <c r="C12" s="62"/>
      <c r="D12" s="15"/>
      <c r="E12" s="62"/>
      <c r="F12" s="62"/>
      <c r="H12" s="16"/>
      <c r="J12" s="15"/>
    </row>
    <row r="13" spans="1:8" ht="24.75" customHeight="1">
      <c r="A13" s="62"/>
      <c r="B13" s="62"/>
      <c r="C13" s="18" t="s">
        <v>5</v>
      </c>
      <c r="D13" s="62"/>
      <c r="E13" s="62"/>
      <c r="F13" s="62"/>
      <c r="H13" s="18" t="s">
        <v>6</v>
      </c>
    </row>
    <row r="14" spans="1:8" ht="12.75" customHeight="1">
      <c r="A14" s="62"/>
      <c r="B14" s="62"/>
      <c r="C14" s="62"/>
      <c r="D14" s="62"/>
      <c r="E14" s="62"/>
      <c r="F14" s="62"/>
      <c r="H14" s="62"/>
    </row>
    <row r="15" spans="1:8" ht="28.5" customHeight="1">
      <c r="A15" s="62"/>
      <c r="B15" s="62"/>
      <c r="C15" s="18" t="s">
        <v>7</v>
      </c>
      <c r="D15" s="62"/>
      <c r="E15" s="62"/>
      <c r="F15" s="62"/>
      <c r="H15" s="18" t="s">
        <v>7</v>
      </c>
    </row>
    <row r="16" spans="1:8" ht="25.5" customHeight="1">
      <c r="A16" s="62"/>
      <c r="B16" s="62"/>
      <c r="C16" s="62"/>
      <c r="D16" s="62"/>
      <c r="E16" s="62"/>
      <c r="F16" s="62"/>
      <c r="H16" s="62"/>
    </row>
    <row r="17" spans="1:10" ht="13.5" customHeight="1">
      <c r="A17" s="62"/>
      <c r="B17" s="19"/>
      <c r="C17" s="20"/>
      <c r="D17" s="20"/>
      <c r="E17" s="21"/>
      <c r="F17" s="22"/>
      <c r="G17" s="23"/>
      <c r="H17" s="24"/>
      <c r="I17" s="25" t="s">
        <v>8</v>
      </c>
      <c r="J17" s="26"/>
    </row>
    <row r="18" spans="1:10" ht="15" customHeight="1">
      <c r="A18" s="62"/>
      <c r="B18" s="27" t="s">
        <v>9</v>
      </c>
      <c r="C18" s="28"/>
      <c r="D18" s="29">
        <v>15</v>
      </c>
      <c r="E18" s="30" t="s">
        <v>10</v>
      </c>
      <c r="F18" s="31"/>
      <c r="G18" s="32"/>
      <c r="H18" s="32"/>
      <c r="I18" s="33">
        <f>G45</f>
        <v>1000000</v>
      </c>
      <c r="J18" s="34"/>
    </row>
    <row r="19" spans="1:10" ht="15">
      <c r="A19" s="62"/>
      <c r="B19" s="27" t="s">
        <v>11</v>
      </c>
      <c r="C19" s="28"/>
      <c r="D19" s="29">
        <v>15</v>
      </c>
      <c r="E19" s="30" t="s">
        <v>10</v>
      </c>
      <c r="F19" s="35"/>
      <c r="G19" s="36"/>
      <c r="H19" s="36"/>
      <c r="I19" s="37">
        <f>I45</f>
        <v>150000</v>
      </c>
      <c r="J19" s="34"/>
    </row>
    <row r="20" spans="1:10" ht="15">
      <c r="A20" s="62"/>
      <c r="B20" s="27" t="s">
        <v>9</v>
      </c>
      <c r="C20" s="28"/>
      <c r="D20" s="29">
        <v>21</v>
      </c>
      <c r="E20" s="30" t="s">
        <v>10</v>
      </c>
      <c r="F20" s="35"/>
      <c r="G20" s="36"/>
      <c r="H20" s="36"/>
      <c r="I20" s="37"/>
      <c r="J20" s="34"/>
    </row>
    <row r="21" spans="1:10" ht="15">
      <c r="A21" s="62"/>
      <c r="B21" s="27" t="s">
        <v>11</v>
      </c>
      <c r="C21" s="28"/>
      <c r="D21" s="29">
        <v>21</v>
      </c>
      <c r="E21" s="30" t="s">
        <v>10</v>
      </c>
      <c r="F21" s="38"/>
      <c r="G21" s="39"/>
      <c r="H21" s="39"/>
      <c r="I21" s="40"/>
      <c r="J21" s="34"/>
    </row>
    <row r="22" spans="1:10" ht="15.6">
      <c r="A22" s="415"/>
      <c r="B22" s="416" t="s">
        <v>12</v>
      </c>
      <c r="C22" s="417"/>
      <c r="D22" s="417"/>
      <c r="E22" s="418"/>
      <c r="F22" s="419"/>
      <c r="G22" s="420"/>
      <c r="H22" s="420"/>
      <c r="I22" s="421">
        <f>SUM(I18:I21)</f>
        <v>1150000</v>
      </c>
      <c r="J22" s="41"/>
    </row>
    <row r="23" spans="1:8" ht="15">
      <c r="A23" s="62"/>
      <c r="B23" s="62"/>
      <c r="C23" s="62"/>
      <c r="D23" s="62"/>
      <c r="E23" s="62"/>
      <c r="F23" s="62"/>
      <c r="H23" s="62"/>
    </row>
    <row r="24" spans="1:10" ht="15">
      <c r="A24" s="62"/>
      <c r="B24" s="62"/>
      <c r="C24" s="62"/>
      <c r="D24" s="62"/>
      <c r="E24" s="62"/>
      <c r="F24" s="62"/>
      <c r="H24" s="62"/>
      <c r="J24" s="42"/>
    </row>
    <row r="25" spans="1:8" ht="1.5" customHeight="1">
      <c r="A25" s="62"/>
      <c r="B25" s="62"/>
      <c r="C25" s="62"/>
      <c r="D25" s="62"/>
      <c r="E25" s="62"/>
      <c r="F25" s="62"/>
      <c r="H25" s="62"/>
    </row>
    <row r="26" spans="1:11" ht="15.75" customHeight="1">
      <c r="A26" s="62"/>
      <c r="B26" s="43" t="s">
        <v>13</v>
      </c>
      <c r="C26" s="4"/>
      <c r="D26" s="4"/>
      <c r="E26" s="4"/>
      <c r="F26" s="4"/>
      <c r="G26" s="4"/>
      <c r="H26" s="4"/>
      <c r="I26" s="4"/>
      <c r="J26" s="4"/>
      <c r="K26" s="44"/>
    </row>
    <row r="27" spans="1:11" ht="5.25" customHeight="1">
      <c r="A27" s="62"/>
      <c r="B27" s="62"/>
      <c r="C27" s="62"/>
      <c r="D27" s="62"/>
      <c r="E27" s="62"/>
      <c r="F27" s="62"/>
      <c r="H27" s="62"/>
      <c r="K27" s="44"/>
    </row>
    <row r="28" spans="1:9" ht="24" customHeight="1">
      <c r="A28" s="62"/>
      <c r="B28" s="45" t="s">
        <v>14</v>
      </c>
      <c r="C28" s="46"/>
      <c r="D28" s="46"/>
      <c r="E28" s="47"/>
      <c r="F28" s="48" t="s">
        <v>15</v>
      </c>
      <c r="G28" s="49" t="str">
        <f>CONCATENATE("Základ DPH ",SazbaDPH1," %")</f>
        <v>Základ DPH 15 %</v>
      </c>
      <c r="H28" s="48" t="str">
        <f>CONCATENATE("Základ DPH ",SazbaDPH2," %")</f>
        <v>Základ DPH 21 %</v>
      </c>
      <c r="I28" s="48" t="s">
        <v>16</v>
      </c>
    </row>
    <row r="29" spans="1:11" ht="15">
      <c r="A29" s="62"/>
      <c r="B29" s="50" t="s">
        <v>17</v>
      </c>
      <c r="C29" s="51"/>
      <c r="D29" s="52"/>
      <c r="E29" s="65"/>
      <c r="F29" s="53"/>
      <c r="G29" s="54"/>
      <c r="H29" s="54"/>
      <c r="I29" s="55"/>
      <c r="K29" s="56"/>
    </row>
    <row r="30" spans="1:12" ht="15">
      <c r="A30" s="62"/>
      <c r="B30" s="57"/>
      <c r="C30" s="698" t="s">
        <v>1435</v>
      </c>
      <c r="D30" s="698"/>
      <c r="E30" s="698"/>
      <c r="F30" s="58">
        <f aca="true" t="shared" si="0" ref="F30:F44">G30+H30+I30</f>
        <v>0</v>
      </c>
      <c r="G30" s="58">
        <f>'1.1.H Stavební rozpočet'!H826</f>
        <v>0</v>
      </c>
      <c r="H30" s="59"/>
      <c r="I30" s="60">
        <f aca="true" t="shared" si="1" ref="I30:I44">(G30*SazbaDPH1)/100+(H30*SazbaDPH2)/100</f>
        <v>0</v>
      </c>
      <c r="K30" s="61"/>
      <c r="L30" s="61"/>
    </row>
    <row r="31" spans="1:1024" s="83" customFormat="1" ht="15">
      <c r="A31" s="62"/>
      <c r="B31" s="57"/>
      <c r="C31" s="698" t="s">
        <v>1436</v>
      </c>
      <c r="D31" s="698"/>
      <c r="E31" s="698"/>
      <c r="F31" s="58">
        <f aca="true" t="shared" si="2" ref="F31">G31+H31+I31</f>
        <v>0</v>
      </c>
      <c r="G31" s="58">
        <f>'1.1.M Stavební rozpočet'!H219</f>
        <v>0</v>
      </c>
      <c r="H31" s="59"/>
      <c r="I31" s="60">
        <f aca="true" t="shared" si="3" ref="I31">(G31*SazbaDPH1)/100+(H31*SazbaDPH2)/100</f>
        <v>0</v>
      </c>
      <c r="J31" s="62"/>
      <c r="K31" s="61"/>
      <c r="L31" s="61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  <c r="IU31" s="62"/>
      <c r="IV31" s="62"/>
      <c r="IW31" s="62"/>
      <c r="IX31" s="62"/>
      <c r="IY31" s="62"/>
      <c r="IZ31" s="62"/>
      <c r="JA31" s="62"/>
      <c r="JB31" s="62"/>
      <c r="JC31" s="62"/>
      <c r="JD31" s="62"/>
      <c r="JE31" s="62"/>
      <c r="JF31" s="62"/>
      <c r="JG31" s="62"/>
      <c r="JH31" s="62"/>
      <c r="JI31" s="62"/>
      <c r="JJ31" s="62"/>
      <c r="JK31" s="62"/>
      <c r="JL31" s="62"/>
      <c r="JM31" s="62"/>
      <c r="JN31" s="62"/>
      <c r="JO31" s="62"/>
      <c r="JP31" s="62"/>
      <c r="JQ31" s="62"/>
      <c r="JR31" s="62"/>
      <c r="JS31" s="62"/>
      <c r="JT31" s="62"/>
      <c r="JU31" s="62"/>
      <c r="JV31" s="62"/>
      <c r="JW31" s="62"/>
      <c r="JX31" s="62"/>
      <c r="JY31" s="62"/>
      <c r="JZ31" s="62"/>
      <c r="KA31" s="62"/>
      <c r="KB31" s="62"/>
      <c r="KC31" s="62"/>
      <c r="KD31" s="62"/>
      <c r="KE31" s="62"/>
      <c r="KF31" s="62"/>
      <c r="KG31" s="62"/>
      <c r="KH31" s="62"/>
      <c r="KI31" s="62"/>
      <c r="KJ31" s="62"/>
      <c r="KK31" s="62"/>
      <c r="KL31" s="62"/>
      <c r="KM31" s="62"/>
      <c r="KN31" s="62"/>
      <c r="KO31" s="62"/>
      <c r="KP31" s="62"/>
      <c r="KQ31" s="62"/>
      <c r="KR31" s="62"/>
      <c r="KS31" s="62"/>
      <c r="KT31" s="62"/>
      <c r="KU31" s="62"/>
      <c r="KV31" s="62"/>
      <c r="KW31" s="62"/>
      <c r="KX31" s="62"/>
      <c r="KY31" s="62"/>
      <c r="KZ31" s="62"/>
      <c r="LA31" s="62"/>
      <c r="LB31" s="62"/>
      <c r="LC31" s="62"/>
      <c r="LD31" s="62"/>
      <c r="LE31" s="62"/>
      <c r="LF31" s="62"/>
      <c r="LG31" s="62"/>
      <c r="LH31" s="62"/>
      <c r="LI31" s="62"/>
      <c r="LJ31" s="62"/>
      <c r="LK31" s="62"/>
      <c r="LL31" s="62"/>
      <c r="LM31" s="62"/>
      <c r="LN31" s="62"/>
      <c r="LO31" s="62"/>
      <c r="LP31" s="62"/>
      <c r="LQ31" s="62"/>
      <c r="LR31" s="62"/>
      <c r="LS31" s="62"/>
      <c r="LT31" s="62"/>
      <c r="LU31" s="62"/>
      <c r="LV31" s="62"/>
      <c r="LW31" s="62"/>
      <c r="LX31" s="62"/>
      <c r="LY31" s="62"/>
      <c r="LZ31" s="62"/>
      <c r="MA31" s="62"/>
      <c r="MB31" s="62"/>
      <c r="MC31" s="62"/>
      <c r="MD31" s="62"/>
      <c r="ME31" s="62"/>
      <c r="MF31" s="62"/>
      <c r="MG31" s="62"/>
      <c r="MH31" s="62"/>
      <c r="MI31" s="62"/>
      <c r="MJ31" s="62"/>
      <c r="MK31" s="62"/>
      <c r="ML31" s="62"/>
      <c r="MM31" s="62"/>
      <c r="MN31" s="62"/>
      <c r="MO31" s="62"/>
      <c r="MP31" s="62"/>
      <c r="MQ31" s="62"/>
      <c r="MR31" s="62"/>
      <c r="MS31" s="62"/>
      <c r="MT31" s="62"/>
      <c r="MU31" s="62"/>
      <c r="MV31" s="62"/>
      <c r="MW31" s="62"/>
      <c r="MX31" s="62"/>
      <c r="MY31" s="62"/>
      <c r="MZ31" s="62"/>
      <c r="NA31" s="62"/>
      <c r="NB31" s="62"/>
      <c r="NC31" s="62"/>
      <c r="ND31" s="62"/>
      <c r="NE31" s="62"/>
      <c r="NF31" s="62"/>
      <c r="NG31" s="62"/>
      <c r="NH31" s="62"/>
      <c r="NI31" s="62"/>
      <c r="NJ31" s="62"/>
      <c r="NK31" s="62"/>
      <c r="NL31" s="62"/>
      <c r="NM31" s="62"/>
      <c r="NN31" s="62"/>
      <c r="NO31" s="62"/>
      <c r="NP31" s="62"/>
      <c r="NQ31" s="62"/>
      <c r="NR31" s="62"/>
      <c r="NS31" s="62"/>
      <c r="NT31" s="62"/>
      <c r="NU31" s="62"/>
      <c r="NV31" s="62"/>
      <c r="NW31" s="62"/>
      <c r="NX31" s="62"/>
      <c r="NY31" s="62"/>
      <c r="NZ31" s="62"/>
      <c r="OA31" s="62"/>
      <c r="OB31" s="62"/>
      <c r="OC31" s="62"/>
      <c r="OD31" s="62"/>
      <c r="OE31" s="62"/>
      <c r="OF31" s="62"/>
      <c r="OG31" s="62"/>
      <c r="OH31" s="62"/>
      <c r="OI31" s="62"/>
      <c r="OJ31" s="62"/>
      <c r="OK31" s="62"/>
      <c r="OL31" s="62"/>
      <c r="OM31" s="62"/>
      <c r="ON31" s="62"/>
      <c r="OO31" s="62"/>
      <c r="OP31" s="62"/>
      <c r="OQ31" s="62"/>
      <c r="OR31" s="62"/>
      <c r="OS31" s="62"/>
      <c r="OT31" s="62"/>
      <c r="OU31" s="62"/>
      <c r="OV31" s="62"/>
      <c r="OW31" s="62"/>
      <c r="OX31" s="62"/>
      <c r="OY31" s="62"/>
      <c r="OZ31" s="62"/>
      <c r="PA31" s="62"/>
      <c r="PB31" s="62"/>
      <c r="PC31" s="62"/>
      <c r="PD31" s="62"/>
      <c r="PE31" s="62"/>
      <c r="PF31" s="62"/>
      <c r="PG31" s="62"/>
      <c r="PH31" s="62"/>
      <c r="PI31" s="62"/>
      <c r="PJ31" s="62"/>
      <c r="PK31" s="62"/>
      <c r="PL31" s="62"/>
      <c r="PM31" s="62"/>
      <c r="PN31" s="62"/>
      <c r="PO31" s="62"/>
      <c r="PP31" s="62"/>
      <c r="PQ31" s="62"/>
      <c r="PR31" s="62"/>
      <c r="PS31" s="62"/>
      <c r="PT31" s="62"/>
      <c r="PU31" s="62"/>
      <c r="PV31" s="62"/>
      <c r="PW31" s="62"/>
      <c r="PX31" s="62"/>
      <c r="PY31" s="62"/>
      <c r="PZ31" s="62"/>
      <c r="QA31" s="62"/>
      <c r="QB31" s="62"/>
      <c r="QC31" s="62"/>
      <c r="QD31" s="62"/>
      <c r="QE31" s="62"/>
      <c r="QF31" s="62"/>
      <c r="QG31" s="62"/>
      <c r="QH31" s="62"/>
      <c r="QI31" s="62"/>
      <c r="QJ31" s="62"/>
      <c r="QK31" s="62"/>
      <c r="QL31" s="62"/>
      <c r="QM31" s="62"/>
      <c r="QN31" s="62"/>
      <c r="QO31" s="62"/>
      <c r="QP31" s="62"/>
      <c r="QQ31" s="62"/>
      <c r="QR31" s="62"/>
      <c r="QS31" s="62"/>
      <c r="QT31" s="62"/>
      <c r="QU31" s="62"/>
      <c r="QV31" s="62"/>
      <c r="QW31" s="62"/>
      <c r="QX31" s="62"/>
      <c r="QY31" s="62"/>
      <c r="QZ31" s="62"/>
      <c r="RA31" s="62"/>
      <c r="RB31" s="62"/>
      <c r="RC31" s="62"/>
      <c r="RD31" s="62"/>
      <c r="RE31" s="62"/>
      <c r="RF31" s="62"/>
      <c r="RG31" s="62"/>
      <c r="RH31" s="62"/>
      <c r="RI31" s="62"/>
      <c r="RJ31" s="62"/>
      <c r="RK31" s="62"/>
      <c r="RL31" s="62"/>
      <c r="RM31" s="62"/>
      <c r="RN31" s="62"/>
      <c r="RO31" s="62"/>
      <c r="RP31" s="62"/>
      <c r="RQ31" s="62"/>
      <c r="RR31" s="62"/>
      <c r="RS31" s="62"/>
      <c r="RT31" s="62"/>
      <c r="RU31" s="62"/>
      <c r="RV31" s="62"/>
      <c r="RW31" s="62"/>
      <c r="RX31" s="62"/>
      <c r="RY31" s="62"/>
      <c r="RZ31" s="62"/>
      <c r="SA31" s="62"/>
      <c r="SB31" s="62"/>
      <c r="SC31" s="62"/>
      <c r="SD31" s="62"/>
      <c r="SE31" s="62"/>
      <c r="SF31" s="62"/>
      <c r="SG31" s="62"/>
      <c r="SH31" s="62"/>
      <c r="SI31" s="62"/>
      <c r="SJ31" s="62"/>
      <c r="SK31" s="62"/>
      <c r="SL31" s="62"/>
      <c r="SM31" s="62"/>
      <c r="SN31" s="62"/>
      <c r="SO31" s="62"/>
      <c r="SP31" s="62"/>
      <c r="SQ31" s="62"/>
      <c r="SR31" s="62"/>
      <c r="SS31" s="62"/>
      <c r="ST31" s="62"/>
      <c r="SU31" s="62"/>
      <c r="SV31" s="62"/>
      <c r="SW31" s="62"/>
      <c r="SX31" s="62"/>
      <c r="SY31" s="62"/>
      <c r="SZ31" s="62"/>
      <c r="TA31" s="62"/>
      <c r="TB31" s="62"/>
      <c r="TC31" s="62"/>
      <c r="TD31" s="62"/>
      <c r="TE31" s="62"/>
      <c r="TF31" s="62"/>
      <c r="TG31" s="62"/>
      <c r="TH31" s="62"/>
      <c r="TI31" s="62"/>
      <c r="TJ31" s="62"/>
      <c r="TK31" s="62"/>
      <c r="TL31" s="62"/>
      <c r="TM31" s="62"/>
      <c r="TN31" s="62"/>
      <c r="TO31" s="62"/>
      <c r="TP31" s="62"/>
      <c r="TQ31" s="62"/>
      <c r="TR31" s="62"/>
      <c r="TS31" s="62"/>
      <c r="TT31" s="62"/>
      <c r="TU31" s="62"/>
      <c r="TV31" s="62"/>
      <c r="TW31" s="62"/>
      <c r="TX31" s="62"/>
      <c r="TY31" s="62"/>
      <c r="TZ31" s="62"/>
      <c r="UA31" s="62"/>
      <c r="UB31" s="62"/>
      <c r="UC31" s="62"/>
      <c r="UD31" s="62"/>
      <c r="UE31" s="62"/>
      <c r="UF31" s="62"/>
      <c r="UG31" s="62"/>
      <c r="UH31" s="62"/>
      <c r="UI31" s="62"/>
      <c r="UJ31" s="62"/>
      <c r="UK31" s="62"/>
      <c r="UL31" s="62"/>
      <c r="UM31" s="62"/>
      <c r="UN31" s="62"/>
      <c r="UO31" s="62"/>
      <c r="UP31" s="62"/>
      <c r="UQ31" s="62"/>
      <c r="UR31" s="62"/>
      <c r="US31" s="62"/>
      <c r="UT31" s="62"/>
      <c r="UU31" s="62"/>
      <c r="UV31" s="62"/>
      <c r="UW31" s="62"/>
      <c r="UX31" s="62"/>
      <c r="UY31" s="62"/>
      <c r="UZ31" s="62"/>
      <c r="VA31" s="62"/>
      <c r="VB31" s="62"/>
      <c r="VC31" s="62"/>
      <c r="VD31" s="62"/>
      <c r="VE31" s="62"/>
      <c r="VF31" s="62"/>
      <c r="VG31" s="62"/>
      <c r="VH31" s="62"/>
      <c r="VI31" s="62"/>
      <c r="VJ31" s="62"/>
      <c r="VK31" s="62"/>
      <c r="VL31" s="62"/>
      <c r="VM31" s="62"/>
      <c r="VN31" s="62"/>
      <c r="VO31" s="62"/>
      <c r="VP31" s="62"/>
      <c r="VQ31" s="62"/>
      <c r="VR31" s="62"/>
      <c r="VS31" s="62"/>
      <c r="VT31" s="62"/>
      <c r="VU31" s="62"/>
      <c r="VV31" s="62"/>
      <c r="VW31" s="62"/>
      <c r="VX31" s="62"/>
      <c r="VY31" s="62"/>
      <c r="VZ31" s="62"/>
      <c r="WA31" s="62"/>
      <c r="WB31" s="62"/>
      <c r="WC31" s="62"/>
      <c r="WD31" s="62"/>
      <c r="WE31" s="62"/>
      <c r="WF31" s="62"/>
      <c r="WG31" s="62"/>
      <c r="WH31" s="62"/>
      <c r="WI31" s="62"/>
      <c r="WJ31" s="62"/>
      <c r="WK31" s="62"/>
      <c r="WL31" s="62"/>
      <c r="WM31" s="62"/>
      <c r="WN31" s="62"/>
      <c r="WO31" s="62"/>
      <c r="WP31" s="62"/>
      <c r="WQ31" s="62"/>
      <c r="WR31" s="62"/>
      <c r="WS31" s="62"/>
      <c r="WT31" s="62"/>
      <c r="WU31" s="62"/>
      <c r="WV31" s="62"/>
      <c r="WW31" s="62"/>
      <c r="WX31" s="62"/>
      <c r="WY31" s="62"/>
      <c r="WZ31" s="62"/>
      <c r="XA31" s="62"/>
      <c r="XB31" s="62"/>
      <c r="XC31" s="62"/>
      <c r="XD31" s="62"/>
      <c r="XE31" s="62"/>
      <c r="XF31" s="62"/>
      <c r="XG31" s="62"/>
      <c r="XH31" s="62"/>
      <c r="XI31" s="62"/>
      <c r="XJ31" s="62"/>
      <c r="XK31" s="62"/>
      <c r="XL31" s="62"/>
      <c r="XM31" s="62"/>
      <c r="XN31" s="62"/>
      <c r="XO31" s="62"/>
      <c r="XP31" s="62"/>
      <c r="XQ31" s="62"/>
      <c r="XR31" s="62"/>
      <c r="XS31" s="62"/>
      <c r="XT31" s="62"/>
      <c r="XU31" s="62"/>
      <c r="XV31" s="62"/>
      <c r="XW31" s="62"/>
      <c r="XX31" s="62"/>
      <c r="XY31" s="62"/>
      <c r="XZ31" s="62"/>
      <c r="YA31" s="62"/>
      <c r="YB31" s="62"/>
      <c r="YC31" s="62"/>
      <c r="YD31" s="62"/>
      <c r="YE31" s="62"/>
      <c r="YF31" s="62"/>
      <c r="YG31" s="62"/>
      <c r="YH31" s="62"/>
      <c r="YI31" s="62"/>
      <c r="YJ31" s="62"/>
      <c r="YK31" s="62"/>
      <c r="YL31" s="62"/>
      <c r="YM31" s="62"/>
      <c r="YN31" s="62"/>
      <c r="YO31" s="62"/>
      <c r="YP31" s="62"/>
      <c r="YQ31" s="62"/>
      <c r="YR31" s="62"/>
      <c r="YS31" s="62"/>
      <c r="YT31" s="62"/>
      <c r="YU31" s="62"/>
      <c r="YV31" s="62"/>
      <c r="YW31" s="62"/>
      <c r="YX31" s="62"/>
      <c r="YY31" s="62"/>
      <c r="YZ31" s="62"/>
      <c r="ZA31" s="62"/>
      <c r="ZB31" s="62"/>
      <c r="ZC31" s="62"/>
      <c r="ZD31" s="62"/>
      <c r="ZE31" s="62"/>
      <c r="ZF31" s="62"/>
      <c r="ZG31" s="62"/>
      <c r="ZH31" s="62"/>
      <c r="ZI31" s="62"/>
      <c r="ZJ31" s="62"/>
      <c r="ZK31" s="62"/>
      <c r="ZL31" s="62"/>
      <c r="ZM31" s="62"/>
      <c r="ZN31" s="62"/>
      <c r="ZO31" s="62"/>
      <c r="ZP31" s="62"/>
      <c r="ZQ31" s="62"/>
      <c r="ZR31" s="62"/>
      <c r="ZS31" s="62"/>
      <c r="ZT31" s="62"/>
      <c r="ZU31" s="62"/>
      <c r="ZV31" s="62"/>
      <c r="ZW31" s="62"/>
      <c r="ZX31" s="62"/>
      <c r="ZY31" s="62"/>
      <c r="ZZ31" s="62"/>
      <c r="AAA31" s="62"/>
      <c r="AAB31" s="62"/>
      <c r="AAC31" s="62"/>
      <c r="AAD31" s="62"/>
      <c r="AAE31" s="62"/>
      <c r="AAF31" s="62"/>
      <c r="AAG31" s="62"/>
      <c r="AAH31" s="62"/>
      <c r="AAI31" s="62"/>
      <c r="AAJ31" s="62"/>
      <c r="AAK31" s="62"/>
      <c r="AAL31" s="62"/>
      <c r="AAM31" s="62"/>
      <c r="AAN31" s="62"/>
      <c r="AAO31" s="62"/>
      <c r="AAP31" s="62"/>
      <c r="AAQ31" s="62"/>
      <c r="AAR31" s="62"/>
      <c r="AAS31" s="62"/>
      <c r="AAT31" s="62"/>
      <c r="AAU31" s="62"/>
      <c r="AAV31" s="62"/>
      <c r="AAW31" s="62"/>
      <c r="AAX31" s="62"/>
      <c r="AAY31" s="62"/>
      <c r="AAZ31" s="62"/>
      <c r="ABA31" s="62"/>
      <c r="ABB31" s="62"/>
      <c r="ABC31" s="62"/>
      <c r="ABD31" s="62"/>
      <c r="ABE31" s="62"/>
      <c r="ABF31" s="62"/>
      <c r="ABG31" s="62"/>
      <c r="ABH31" s="62"/>
      <c r="ABI31" s="62"/>
      <c r="ABJ31" s="62"/>
      <c r="ABK31" s="62"/>
      <c r="ABL31" s="62"/>
      <c r="ABM31" s="62"/>
      <c r="ABN31" s="62"/>
      <c r="ABO31" s="62"/>
      <c r="ABP31" s="62"/>
      <c r="ABQ31" s="62"/>
      <c r="ABR31" s="62"/>
      <c r="ABS31" s="62"/>
      <c r="ABT31" s="62"/>
      <c r="ABU31" s="62"/>
      <c r="ABV31" s="62"/>
      <c r="ABW31" s="62"/>
      <c r="ABX31" s="62"/>
      <c r="ABY31" s="62"/>
      <c r="ABZ31" s="62"/>
      <c r="ACA31" s="62"/>
      <c r="ACB31" s="62"/>
      <c r="ACC31" s="62"/>
      <c r="ACD31" s="62"/>
      <c r="ACE31" s="62"/>
      <c r="ACF31" s="62"/>
      <c r="ACG31" s="62"/>
      <c r="ACH31" s="62"/>
      <c r="ACI31" s="62"/>
      <c r="ACJ31" s="62"/>
      <c r="ACK31" s="62"/>
      <c r="ACL31" s="62"/>
      <c r="ACM31" s="62"/>
      <c r="ACN31" s="62"/>
      <c r="ACO31" s="62"/>
      <c r="ACP31" s="62"/>
      <c r="ACQ31" s="62"/>
      <c r="ACR31" s="62"/>
      <c r="ACS31" s="62"/>
      <c r="ACT31" s="62"/>
      <c r="ACU31" s="62"/>
      <c r="ACV31" s="62"/>
      <c r="ACW31" s="62"/>
      <c r="ACX31" s="62"/>
      <c r="ACY31" s="62"/>
      <c r="ACZ31" s="62"/>
      <c r="ADA31" s="62"/>
      <c r="ADB31" s="62"/>
      <c r="ADC31" s="62"/>
      <c r="ADD31" s="62"/>
      <c r="ADE31" s="62"/>
      <c r="ADF31" s="62"/>
      <c r="ADG31" s="62"/>
      <c r="ADH31" s="62"/>
      <c r="ADI31" s="62"/>
      <c r="ADJ31" s="62"/>
      <c r="ADK31" s="62"/>
      <c r="ADL31" s="62"/>
      <c r="ADM31" s="62"/>
      <c r="ADN31" s="62"/>
      <c r="ADO31" s="62"/>
      <c r="ADP31" s="62"/>
      <c r="ADQ31" s="62"/>
      <c r="ADR31" s="62"/>
      <c r="ADS31" s="62"/>
      <c r="ADT31" s="62"/>
      <c r="ADU31" s="62"/>
      <c r="ADV31" s="62"/>
      <c r="ADW31" s="62"/>
      <c r="ADX31" s="62"/>
      <c r="ADY31" s="62"/>
      <c r="ADZ31" s="62"/>
      <c r="AEA31" s="62"/>
      <c r="AEB31" s="62"/>
      <c r="AEC31" s="62"/>
      <c r="AED31" s="62"/>
      <c r="AEE31" s="62"/>
      <c r="AEF31" s="62"/>
      <c r="AEG31" s="62"/>
      <c r="AEH31" s="62"/>
      <c r="AEI31" s="62"/>
      <c r="AEJ31" s="62"/>
      <c r="AEK31" s="62"/>
      <c r="AEL31" s="62"/>
      <c r="AEM31" s="62"/>
      <c r="AEN31" s="62"/>
      <c r="AEO31" s="62"/>
      <c r="AEP31" s="62"/>
      <c r="AEQ31" s="62"/>
      <c r="AER31" s="62"/>
      <c r="AES31" s="62"/>
      <c r="AET31" s="62"/>
      <c r="AEU31" s="62"/>
      <c r="AEV31" s="62"/>
      <c r="AEW31" s="62"/>
      <c r="AEX31" s="62"/>
      <c r="AEY31" s="62"/>
      <c r="AEZ31" s="62"/>
      <c r="AFA31" s="62"/>
      <c r="AFB31" s="62"/>
      <c r="AFC31" s="62"/>
      <c r="AFD31" s="62"/>
      <c r="AFE31" s="62"/>
      <c r="AFF31" s="62"/>
      <c r="AFG31" s="62"/>
      <c r="AFH31" s="62"/>
      <c r="AFI31" s="62"/>
      <c r="AFJ31" s="62"/>
      <c r="AFK31" s="62"/>
      <c r="AFL31" s="62"/>
      <c r="AFM31" s="62"/>
      <c r="AFN31" s="62"/>
      <c r="AFO31" s="62"/>
      <c r="AFP31" s="62"/>
      <c r="AFQ31" s="62"/>
      <c r="AFR31" s="62"/>
      <c r="AFS31" s="62"/>
      <c r="AFT31" s="62"/>
      <c r="AFU31" s="62"/>
      <c r="AFV31" s="62"/>
      <c r="AFW31" s="62"/>
      <c r="AFX31" s="62"/>
      <c r="AFY31" s="62"/>
      <c r="AFZ31" s="62"/>
      <c r="AGA31" s="62"/>
      <c r="AGB31" s="62"/>
      <c r="AGC31" s="62"/>
      <c r="AGD31" s="62"/>
      <c r="AGE31" s="62"/>
      <c r="AGF31" s="62"/>
      <c r="AGG31" s="62"/>
      <c r="AGH31" s="62"/>
      <c r="AGI31" s="62"/>
      <c r="AGJ31" s="62"/>
      <c r="AGK31" s="62"/>
      <c r="AGL31" s="62"/>
      <c r="AGM31" s="62"/>
      <c r="AGN31" s="62"/>
      <c r="AGO31" s="62"/>
      <c r="AGP31" s="62"/>
      <c r="AGQ31" s="62"/>
      <c r="AGR31" s="62"/>
      <c r="AGS31" s="62"/>
      <c r="AGT31" s="62"/>
      <c r="AGU31" s="62"/>
      <c r="AGV31" s="62"/>
      <c r="AGW31" s="62"/>
      <c r="AGX31" s="62"/>
      <c r="AGY31" s="62"/>
      <c r="AGZ31" s="62"/>
      <c r="AHA31" s="62"/>
      <c r="AHB31" s="62"/>
      <c r="AHC31" s="62"/>
      <c r="AHD31" s="62"/>
      <c r="AHE31" s="62"/>
      <c r="AHF31" s="62"/>
      <c r="AHG31" s="62"/>
      <c r="AHH31" s="62"/>
      <c r="AHI31" s="62"/>
      <c r="AHJ31" s="62"/>
      <c r="AHK31" s="62"/>
      <c r="AHL31" s="62"/>
      <c r="AHM31" s="62"/>
      <c r="AHN31" s="62"/>
      <c r="AHO31" s="62"/>
      <c r="AHP31" s="62"/>
      <c r="AHQ31" s="62"/>
      <c r="AHR31" s="62"/>
      <c r="AHS31" s="62"/>
      <c r="AHT31" s="62"/>
      <c r="AHU31" s="62"/>
      <c r="AHV31" s="62"/>
      <c r="AHW31" s="62"/>
      <c r="AHX31" s="62"/>
      <c r="AHY31" s="62"/>
      <c r="AHZ31" s="62"/>
      <c r="AIA31" s="62"/>
      <c r="AIB31" s="62"/>
      <c r="AIC31" s="62"/>
      <c r="AID31" s="62"/>
      <c r="AIE31" s="62"/>
      <c r="AIF31" s="62"/>
      <c r="AIG31" s="62"/>
      <c r="AIH31" s="62"/>
      <c r="AII31" s="62"/>
      <c r="AIJ31" s="62"/>
      <c r="AIK31" s="62"/>
      <c r="AIL31" s="62"/>
      <c r="AIM31" s="62"/>
      <c r="AIN31" s="62"/>
      <c r="AIO31" s="62"/>
      <c r="AIP31" s="62"/>
      <c r="AIQ31" s="62"/>
      <c r="AIR31" s="62"/>
      <c r="AIS31" s="62"/>
      <c r="AIT31" s="62"/>
      <c r="AIU31" s="62"/>
      <c r="AIV31" s="62"/>
      <c r="AIW31" s="62"/>
      <c r="AIX31" s="62"/>
      <c r="AIY31" s="62"/>
      <c r="AIZ31" s="62"/>
      <c r="AJA31" s="62"/>
      <c r="AJB31" s="62"/>
      <c r="AJC31" s="62"/>
      <c r="AJD31" s="62"/>
      <c r="AJE31" s="62"/>
      <c r="AJF31" s="62"/>
      <c r="AJG31" s="62"/>
      <c r="AJH31" s="62"/>
      <c r="AJI31" s="62"/>
      <c r="AJJ31" s="62"/>
      <c r="AJK31" s="62"/>
      <c r="AJL31" s="62"/>
      <c r="AJM31" s="62"/>
      <c r="AJN31" s="62"/>
      <c r="AJO31" s="62"/>
      <c r="AJP31" s="62"/>
      <c r="AJQ31" s="62"/>
      <c r="AJR31" s="62"/>
      <c r="AJS31" s="62"/>
      <c r="AJT31" s="62"/>
      <c r="AJU31" s="62"/>
      <c r="AJV31" s="62"/>
      <c r="AJW31" s="62"/>
      <c r="AJX31" s="62"/>
      <c r="AJY31" s="62"/>
      <c r="AJZ31" s="62"/>
      <c r="AKA31" s="62"/>
      <c r="AKB31" s="62"/>
      <c r="AKC31" s="62"/>
      <c r="AKD31" s="62"/>
      <c r="AKE31" s="62"/>
      <c r="AKF31" s="62"/>
      <c r="AKG31" s="62"/>
      <c r="AKH31" s="62"/>
      <c r="AKI31" s="62"/>
      <c r="AKJ31" s="62"/>
      <c r="AKK31" s="62"/>
      <c r="AKL31" s="62"/>
      <c r="AKM31" s="62"/>
      <c r="AKN31" s="62"/>
      <c r="AKO31" s="62"/>
      <c r="AKP31" s="62"/>
      <c r="AKQ31" s="62"/>
      <c r="AKR31" s="62"/>
      <c r="AKS31" s="62"/>
      <c r="AKT31" s="62"/>
      <c r="AKU31" s="62"/>
      <c r="AKV31" s="62"/>
      <c r="AKW31" s="62"/>
      <c r="AKX31" s="62"/>
      <c r="AKY31" s="62"/>
      <c r="AKZ31" s="62"/>
      <c r="ALA31" s="62"/>
      <c r="ALB31" s="62"/>
      <c r="ALC31" s="62"/>
      <c r="ALD31" s="62"/>
      <c r="ALE31" s="62"/>
      <c r="ALF31" s="62"/>
      <c r="ALG31" s="62"/>
      <c r="ALH31" s="62"/>
      <c r="ALI31" s="62"/>
      <c r="ALJ31" s="62"/>
      <c r="ALK31" s="62"/>
      <c r="ALL31" s="62"/>
      <c r="ALM31" s="62"/>
      <c r="ALN31" s="62"/>
      <c r="ALO31" s="62"/>
      <c r="ALP31" s="62"/>
      <c r="ALQ31" s="62"/>
      <c r="ALR31" s="62"/>
      <c r="ALS31" s="62"/>
      <c r="ALT31" s="62"/>
      <c r="ALU31" s="62"/>
      <c r="ALV31" s="62"/>
      <c r="ALW31" s="62"/>
      <c r="ALX31" s="62"/>
      <c r="ALY31" s="62"/>
      <c r="ALZ31" s="62"/>
      <c r="AMA31" s="62"/>
      <c r="AMB31" s="62"/>
      <c r="AMC31" s="62"/>
      <c r="AMD31" s="62"/>
      <c r="AME31" s="62"/>
      <c r="AMF31" s="62"/>
      <c r="AMG31" s="62"/>
      <c r="AMH31" s="62"/>
      <c r="AMI31" s="62"/>
      <c r="AMJ31" s="62"/>
    </row>
    <row r="32" spans="1:12" ht="15">
      <c r="A32" s="62"/>
      <c r="B32" s="57"/>
      <c r="C32" s="698" t="s">
        <v>1437</v>
      </c>
      <c r="D32" s="698"/>
      <c r="E32" s="698"/>
      <c r="F32" s="58">
        <f t="shared" si="0"/>
        <v>0</v>
      </c>
      <c r="G32" s="58">
        <f>'1.2.H Elektroinstalace'!J55</f>
        <v>0</v>
      </c>
      <c r="H32" s="59"/>
      <c r="I32" s="60">
        <f t="shared" si="1"/>
        <v>0</v>
      </c>
      <c r="K32" s="61"/>
      <c r="L32" s="61"/>
    </row>
    <row r="33" spans="1:1024" s="83" customFormat="1" ht="15">
      <c r="A33" s="62"/>
      <c r="B33" s="57"/>
      <c r="C33" s="698" t="s">
        <v>1438</v>
      </c>
      <c r="D33" s="698"/>
      <c r="E33" s="698"/>
      <c r="F33" s="58">
        <f aca="true" t="shared" si="4" ref="F33">G33+H33+I33</f>
        <v>0</v>
      </c>
      <c r="G33" s="58">
        <f>'1.2.M Elektroinstalace'!J15</f>
        <v>0</v>
      </c>
      <c r="H33" s="59"/>
      <c r="I33" s="60">
        <f aca="true" t="shared" si="5" ref="I33">(G33*SazbaDPH1)/100+(H33*SazbaDPH2)/100</f>
        <v>0</v>
      </c>
      <c r="J33" s="62"/>
      <c r="K33" s="61"/>
      <c r="L33" s="61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  <c r="IR33" s="62"/>
      <c r="IS33" s="62"/>
      <c r="IT33" s="62"/>
      <c r="IU33" s="62"/>
      <c r="IV33" s="62"/>
      <c r="IW33" s="62"/>
      <c r="IX33" s="62"/>
      <c r="IY33" s="62"/>
      <c r="IZ33" s="62"/>
      <c r="JA33" s="62"/>
      <c r="JB33" s="62"/>
      <c r="JC33" s="62"/>
      <c r="JD33" s="62"/>
      <c r="JE33" s="62"/>
      <c r="JF33" s="62"/>
      <c r="JG33" s="62"/>
      <c r="JH33" s="62"/>
      <c r="JI33" s="62"/>
      <c r="JJ33" s="62"/>
      <c r="JK33" s="62"/>
      <c r="JL33" s="62"/>
      <c r="JM33" s="62"/>
      <c r="JN33" s="62"/>
      <c r="JO33" s="62"/>
      <c r="JP33" s="62"/>
      <c r="JQ33" s="62"/>
      <c r="JR33" s="62"/>
      <c r="JS33" s="62"/>
      <c r="JT33" s="62"/>
      <c r="JU33" s="62"/>
      <c r="JV33" s="62"/>
      <c r="JW33" s="62"/>
      <c r="JX33" s="62"/>
      <c r="JY33" s="62"/>
      <c r="JZ33" s="62"/>
      <c r="KA33" s="62"/>
      <c r="KB33" s="62"/>
      <c r="KC33" s="62"/>
      <c r="KD33" s="62"/>
      <c r="KE33" s="62"/>
      <c r="KF33" s="62"/>
      <c r="KG33" s="62"/>
      <c r="KH33" s="62"/>
      <c r="KI33" s="62"/>
      <c r="KJ33" s="62"/>
      <c r="KK33" s="62"/>
      <c r="KL33" s="62"/>
      <c r="KM33" s="62"/>
      <c r="KN33" s="62"/>
      <c r="KO33" s="62"/>
      <c r="KP33" s="62"/>
      <c r="KQ33" s="62"/>
      <c r="KR33" s="62"/>
      <c r="KS33" s="62"/>
      <c r="KT33" s="62"/>
      <c r="KU33" s="62"/>
      <c r="KV33" s="62"/>
      <c r="KW33" s="62"/>
      <c r="KX33" s="62"/>
      <c r="KY33" s="62"/>
      <c r="KZ33" s="62"/>
      <c r="LA33" s="62"/>
      <c r="LB33" s="62"/>
      <c r="LC33" s="62"/>
      <c r="LD33" s="62"/>
      <c r="LE33" s="62"/>
      <c r="LF33" s="62"/>
      <c r="LG33" s="62"/>
      <c r="LH33" s="62"/>
      <c r="LI33" s="62"/>
      <c r="LJ33" s="62"/>
      <c r="LK33" s="62"/>
      <c r="LL33" s="62"/>
      <c r="LM33" s="62"/>
      <c r="LN33" s="62"/>
      <c r="LO33" s="62"/>
      <c r="LP33" s="62"/>
      <c r="LQ33" s="62"/>
      <c r="LR33" s="62"/>
      <c r="LS33" s="62"/>
      <c r="LT33" s="62"/>
      <c r="LU33" s="62"/>
      <c r="LV33" s="62"/>
      <c r="LW33" s="62"/>
      <c r="LX33" s="62"/>
      <c r="LY33" s="62"/>
      <c r="LZ33" s="62"/>
      <c r="MA33" s="62"/>
      <c r="MB33" s="62"/>
      <c r="MC33" s="62"/>
      <c r="MD33" s="62"/>
      <c r="ME33" s="62"/>
      <c r="MF33" s="62"/>
      <c r="MG33" s="62"/>
      <c r="MH33" s="62"/>
      <c r="MI33" s="62"/>
      <c r="MJ33" s="62"/>
      <c r="MK33" s="62"/>
      <c r="ML33" s="62"/>
      <c r="MM33" s="62"/>
      <c r="MN33" s="62"/>
      <c r="MO33" s="62"/>
      <c r="MP33" s="62"/>
      <c r="MQ33" s="62"/>
      <c r="MR33" s="62"/>
      <c r="MS33" s="62"/>
      <c r="MT33" s="62"/>
      <c r="MU33" s="62"/>
      <c r="MV33" s="62"/>
      <c r="MW33" s="62"/>
      <c r="MX33" s="62"/>
      <c r="MY33" s="62"/>
      <c r="MZ33" s="62"/>
      <c r="NA33" s="62"/>
      <c r="NB33" s="62"/>
      <c r="NC33" s="62"/>
      <c r="ND33" s="62"/>
      <c r="NE33" s="62"/>
      <c r="NF33" s="62"/>
      <c r="NG33" s="62"/>
      <c r="NH33" s="62"/>
      <c r="NI33" s="62"/>
      <c r="NJ33" s="62"/>
      <c r="NK33" s="62"/>
      <c r="NL33" s="62"/>
      <c r="NM33" s="62"/>
      <c r="NN33" s="62"/>
      <c r="NO33" s="62"/>
      <c r="NP33" s="62"/>
      <c r="NQ33" s="62"/>
      <c r="NR33" s="62"/>
      <c r="NS33" s="62"/>
      <c r="NT33" s="62"/>
      <c r="NU33" s="62"/>
      <c r="NV33" s="62"/>
      <c r="NW33" s="62"/>
      <c r="NX33" s="62"/>
      <c r="NY33" s="62"/>
      <c r="NZ33" s="62"/>
      <c r="OA33" s="62"/>
      <c r="OB33" s="62"/>
      <c r="OC33" s="62"/>
      <c r="OD33" s="62"/>
      <c r="OE33" s="62"/>
      <c r="OF33" s="62"/>
      <c r="OG33" s="62"/>
      <c r="OH33" s="62"/>
      <c r="OI33" s="62"/>
      <c r="OJ33" s="62"/>
      <c r="OK33" s="62"/>
      <c r="OL33" s="62"/>
      <c r="OM33" s="62"/>
      <c r="ON33" s="62"/>
      <c r="OO33" s="62"/>
      <c r="OP33" s="62"/>
      <c r="OQ33" s="62"/>
      <c r="OR33" s="62"/>
      <c r="OS33" s="62"/>
      <c r="OT33" s="62"/>
      <c r="OU33" s="62"/>
      <c r="OV33" s="62"/>
      <c r="OW33" s="62"/>
      <c r="OX33" s="62"/>
      <c r="OY33" s="62"/>
      <c r="OZ33" s="62"/>
      <c r="PA33" s="62"/>
      <c r="PB33" s="62"/>
      <c r="PC33" s="62"/>
      <c r="PD33" s="62"/>
      <c r="PE33" s="62"/>
      <c r="PF33" s="62"/>
      <c r="PG33" s="62"/>
      <c r="PH33" s="62"/>
      <c r="PI33" s="62"/>
      <c r="PJ33" s="62"/>
      <c r="PK33" s="62"/>
      <c r="PL33" s="62"/>
      <c r="PM33" s="62"/>
      <c r="PN33" s="62"/>
      <c r="PO33" s="62"/>
      <c r="PP33" s="62"/>
      <c r="PQ33" s="62"/>
      <c r="PR33" s="62"/>
      <c r="PS33" s="62"/>
      <c r="PT33" s="62"/>
      <c r="PU33" s="62"/>
      <c r="PV33" s="62"/>
      <c r="PW33" s="62"/>
      <c r="PX33" s="62"/>
      <c r="PY33" s="62"/>
      <c r="PZ33" s="62"/>
      <c r="QA33" s="62"/>
      <c r="QB33" s="62"/>
      <c r="QC33" s="62"/>
      <c r="QD33" s="62"/>
      <c r="QE33" s="62"/>
      <c r="QF33" s="62"/>
      <c r="QG33" s="62"/>
      <c r="QH33" s="62"/>
      <c r="QI33" s="62"/>
      <c r="QJ33" s="62"/>
      <c r="QK33" s="62"/>
      <c r="QL33" s="62"/>
      <c r="QM33" s="62"/>
      <c r="QN33" s="62"/>
      <c r="QO33" s="62"/>
      <c r="QP33" s="62"/>
      <c r="QQ33" s="62"/>
      <c r="QR33" s="62"/>
      <c r="QS33" s="62"/>
      <c r="QT33" s="62"/>
      <c r="QU33" s="62"/>
      <c r="QV33" s="62"/>
      <c r="QW33" s="62"/>
      <c r="QX33" s="62"/>
      <c r="QY33" s="62"/>
      <c r="QZ33" s="62"/>
      <c r="RA33" s="62"/>
      <c r="RB33" s="62"/>
      <c r="RC33" s="62"/>
      <c r="RD33" s="62"/>
      <c r="RE33" s="62"/>
      <c r="RF33" s="62"/>
      <c r="RG33" s="62"/>
      <c r="RH33" s="62"/>
      <c r="RI33" s="62"/>
      <c r="RJ33" s="62"/>
      <c r="RK33" s="62"/>
      <c r="RL33" s="62"/>
      <c r="RM33" s="62"/>
      <c r="RN33" s="62"/>
      <c r="RO33" s="62"/>
      <c r="RP33" s="62"/>
      <c r="RQ33" s="62"/>
      <c r="RR33" s="62"/>
      <c r="RS33" s="62"/>
      <c r="RT33" s="62"/>
      <c r="RU33" s="62"/>
      <c r="RV33" s="62"/>
      <c r="RW33" s="62"/>
      <c r="RX33" s="62"/>
      <c r="RY33" s="62"/>
      <c r="RZ33" s="62"/>
      <c r="SA33" s="62"/>
      <c r="SB33" s="62"/>
      <c r="SC33" s="62"/>
      <c r="SD33" s="62"/>
      <c r="SE33" s="62"/>
      <c r="SF33" s="62"/>
      <c r="SG33" s="62"/>
      <c r="SH33" s="62"/>
      <c r="SI33" s="62"/>
      <c r="SJ33" s="62"/>
      <c r="SK33" s="62"/>
      <c r="SL33" s="62"/>
      <c r="SM33" s="62"/>
      <c r="SN33" s="62"/>
      <c r="SO33" s="62"/>
      <c r="SP33" s="62"/>
      <c r="SQ33" s="62"/>
      <c r="SR33" s="62"/>
      <c r="SS33" s="62"/>
      <c r="ST33" s="62"/>
      <c r="SU33" s="62"/>
      <c r="SV33" s="62"/>
      <c r="SW33" s="62"/>
      <c r="SX33" s="62"/>
      <c r="SY33" s="62"/>
      <c r="SZ33" s="62"/>
      <c r="TA33" s="62"/>
      <c r="TB33" s="62"/>
      <c r="TC33" s="62"/>
      <c r="TD33" s="62"/>
      <c r="TE33" s="62"/>
      <c r="TF33" s="62"/>
      <c r="TG33" s="62"/>
      <c r="TH33" s="62"/>
      <c r="TI33" s="62"/>
      <c r="TJ33" s="62"/>
      <c r="TK33" s="62"/>
      <c r="TL33" s="62"/>
      <c r="TM33" s="62"/>
      <c r="TN33" s="62"/>
      <c r="TO33" s="62"/>
      <c r="TP33" s="62"/>
      <c r="TQ33" s="62"/>
      <c r="TR33" s="62"/>
      <c r="TS33" s="62"/>
      <c r="TT33" s="62"/>
      <c r="TU33" s="62"/>
      <c r="TV33" s="62"/>
      <c r="TW33" s="62"/>
      <c r="TX33" s="62"/>
      <c r="TY33" s="62"/>
      <c r="TZ33" s="62"/>
      <c r="UA33" s="62"/>
      <c r="UB33" s="62"/>
      <c r="UC33" s="62"/>
      <c r="UD33" s="62"/>
      <c r="UE33" s="62"/>
      <c r="UF33" s="62"/>
      <c r="UG33" s="62"/>
      <c r="UH33" s="62"/>
      <c r="UI33" s="62"/>
      <c r="UJ33" s="62"/>
      <c r="UK33" s="62"/>
      <c r="UL33" s="62"/>
      <c r="UM33" s="62"/>
      <c r="UN33" s="62"/>
      <c r="UO33" s="62"/>
      <c r="UP33" s="62"/>
      <c r="UQ33" s="62"/>
      <c r="UR33" s="62"/>
      <c r="US33" s="62"/>
      <c r="UT33" s="62"/>
      <c r="UU33" s="62"/>
      <c r="UV33" s="62"/>
      <c r="UW33" s="62"/>
      <c r="UX33" s="62"/>
      <c r="UY33" s="62"/>
      <c r="UZ33" s="62"/>
      <c r="VA33" s="62"/>
      <c r="VB33" s="62"/>
      <c r="VC33" s="62"/>
      <c r="VD33" s="62"/>
      <c r="VE33" s="62"/>
      <c r="VF33" s="62"/>
      <c r="VG33" s="62"/>
      <c r="VH33" s="62"/>
      <c r="VI33" s="62"/>
      <c r="VJ33" s="62"/>
      <c r="VK33" s="62"/>
      <c r="VL33" s="62"/>
      <c r="VM33" s="62"/>
      <c r="VN33" s="62"/>
      <c r="VO33" s="62"/>
      <c r="VP33" s="62"/>
      <c r="VQ33" s="62"/>
      <c r="VR33" s="62"/>
      <c r="VS33" s="62"/>
      <c r="VT33" s="62"/>
      <c r="VU33" s="62"/>
      <c r="VV33" s="62"/>
      <c r="VW33" s="62"/>
      <c r="VX33" s="62"/>
      <c r="VY33" s="62"/>
      <c r="VZ33" s="62"/>
      <c r="WA33" s="62"/>
      <c r="WB33" s="62"/>
      <c r="WC33" s="62"/>
      <c r="WD33" s="62"/>
      <c r="WE33" s="62"/>
      <c r="WF33" s="62"/>
      <c r="WG33" s="62"/>
      <c r="WH33" s="62"/>
      <c r="WI33" s="62"/>
      <c r="WJ33" s="62"/>
      <c r="WK33" s="62"/>
      <c r="WL33" s="62"/>
      <c r="WM33" s="62"/>
      <c r="WN33" s="62"/>
      <c r="WO33" s="62"/>
      <c r="WP33" s="62"/>
      <c r="WQ33" s="62"/>
      <c r="WR33" s="62"/>
      <c r="WS33" s="62"/>
      <c r="WT33" s="62"/>
      <c r="WU33" s="62"/>
      <c r="WV33" s="62"/>
      <c r="WW33" s="62"/>
      <c r="WX33" s="62"/>
      <c r="WY33" s="62"/>
      <c r="WZ33" s="62"/>
      <c r="XA33" s="62"/>
      <c r="XB33" s="62"/>
      <c r="XC33" s="62"/>
      <c r="XD33" s="62"/>
      <c r="XE33" s="62"/>
      <c r="XF33" s="62"/>
      <c r="XG33" s="62"/>
      <c r="XH33" s="62"/>
      <c r="XI33" s="62"/>
      <c r="XJ33" s="62"/>
      <c r="XK33" s="62"/>
      <c r="XL33" s="62"/>
      <c r="XM33" s="62"/>
      <c r="XN33" s="62"/>
      <c r="XO33" s="62"/>
      <c r="XP33" s="62"/>
      <c r="XQ33" s="62"/>
      <c r="XR33" s="62"/>
      <c r="XS33" s="62"/>
      <c r="XT33" s="62"/>
      <c r="XU33" s="62"/>
      <c r="XV33" s="62"/>
      <c r="XW33" s="62"/>
      <c r="XX33" s="62"/>
      <c r="XY33" s="62"/>
      <c r="XZ33" s="62"/>
      <c r="YA33" s="62"/>
      <c r="YB33" s="62"/>
      <c r="YC33" s="62"/>
      <c r="YD33" s="62"/>
      <c r="YE33" s="62"/>
      <c r="YF33" s="62"/>
      <c r="YG33" s="62"/>
      <c r="YH33" s="62"/>
      <c r="YI33" s="62"/>
      <c r="YJ33" s="62"/>
      <c r="YK33" s="62"/>
      <c r="YL33" s="62"/>
      <c r="YM33" s="62"/>
      <c r="YN33" s="62"/>
      <c r="YO33" s="62"/>
      <c r="YP33" s="62"/>
      <c r="YQ33" s="62"/>
      <c r="YR33" s="62"/>
      <c r="YS33" s="62"/>
      <c r="YT33" s="62"/>
      <c r="YU33" s="62"/>
      <c r="YV33" s="62"/>
      <c r="YW33" s="62"/>
      <c r="YX33" s="62"/>
      <c r="YY33" s="62"/>
      <c r="YZ33" s="62"/>
      <c r="ZA33" s="62"/>
      <c r="ZB33" s="62"/>
      <c r="ZC33" s="62"/>
      <c r="ZD33" s="62"/>
      <c r="ZE33" s="62"/>
      <c r="ZF33" s="62"/>
      <c r="ZG33" s="62"/>
      <c r="ZH33" s="62"/>
      <c r="ZI33" s="62"/>
      <c r="ZJ33" s="62"/>
      <c r="ZK33" s="62"/>
      <c r="ZL33" s="62"/>
      <c r="ZM33" s="62"/>
      <c r="ZN33" s="62"/>
      <c r="ZO33" s="62"/>
      <c r="ZP33" s="62"/>
      <c r="ZQ33" s="62"/>
      <c r="ZR33" s="62"/>
      <c r="ZS33" s="62"/>
      <c r="ZT33" s="62"/>
      <c r="ZU33" s="62"/>
      <c r="ZV33" s="62"/>
      <c r="ZW33" s="62"/>
      <c r="ZX33" s="62"/>
      <c r="ZY33" s="62"/>
      <c r="ZZ33" s="62"/>
      <c r="AAA33" s="62"/>
      <c r="AAB33" s="62"/>
      <c r="AAC33" s="62"/>
      <c r="AAD33" s="62"/>
      <c r="AAE33" s="62"/>
      <c r="AAF33" s="62"/>
      <c r="AAG33" s="62"/>
      <c r="AAH33" s="62"/>
      <c r="AAI33" s="62"/>
      <c r="AAJ33" s="62"/>
      <c r="AAK33" s="62"/>
      <c r="AAL33" s="62"/>
      <c r="AAM33" s="62"/>
      <c r="AAN33" s="62"/>
      <c r="AAO33" s="62"/>
      <c r="AAP33" s="62"/>
      <c r="AAQ33" s="62"/>
      <c r="AAR33" s="62"/>
      <c r="AAS33" s="62"/>
      <c r="AAT33" s="62"/>
      <c r="AAU33" s="62"/>
      <c r="AAV33" s="62"/>
      <c r="AAW33" s="62"/>
      <c r="AAX33" s="62"/>
      <c r="AAY33" s="62"/>
      <c r="AAZ33" s="62"/>
      <c r="ABA33" s="62"/>
      <c r="ABB33" s="62"/>
      <c r="ABC33" s="62"/>
      <c r="ABD33" s="62"/>
      <c r="ABE33" s="62"/>
      <c r="ABF33" s="62"/>
      <c r="ABG33" s="62"/>
      <c r="ABH33" s="62"/>
      <c r="ABI33" s="62"/>
      <c r="ABJ33" s="62"/>
      <c r="ABK33" s="62"/>
      <c r="ABL33" s="62"/>
      <c r="ABM33" s="62"/>
      <c r="ABN33" s="62"/>
      <c r="ABO33" s="62"/>
      <c r="ABP33" s="62"/>
      <c r="ABQ33" s="62"/>
      <c r="ABR33" s="62"/>
      <c r="ABS33" s="62"/>
      <c r="ABT33" s="62"/>
      <c r="ABU33" s="62"/>
      <c r="ABV33" s="62"/>
      <c r="ABW33" s="62"/>
      <c r="ABX33" s="62"/>
      <c r="ABY33" s="62"/>
      <c r="ABZ33" s="62"/>
      <c r="ACA33" s="62"/>
      <c r="ACB33" s="62"/>
      <c r="ACC33" s="62"/>
      <c r="ACD33" s="62"/>
      <c r="ACE33" s="62"/>
      <c r="ACF33" s="62"/>
      <c r="ACG33" s="62"/>
      <c r="ACH33" s="62"/>
      <c r="ACI33" s="62"/>
      <c r="ACJ33" s="62"/>
      <c r="ACK33" s="62"/>
      <c r="ACL33" s="62"/>
      <c r="ACM33" s="62"/>
      <c r="ACN33" s="62"/>
      <c r="ACO33" s="62"/>
      <c r="ACP33" s="62"/>
      <c r="ACQ33" s="62"/>
      <c r="ACR33" s="62"/>
      <c r="ACS33" s="62"/>
      <c r="ACT33" s="62"/>
      <c r="ACU33" s="62"/>
      <c r="ACV33" s="62"/>
      <c r="ACW33" s="62"/>
      <c r="ACX33" s="62"/>
      <c r="ACY33" s="62"/>
      <c r="ACZ33" s="62"/>
      <c r="ADA33" s="62"/>
      <c r="ADB33" s="62"/>
      <c r="ADC33" s="62"/>
      <c r="ADD33" s="62"/>
      <c r="ADE33" s="62"/>
      <c r="ADF33" s="62"/>
      <c r="ADG33" s="62"/>
      <c r="ADH33" s="62"/>
      <c r="ADI33" s="62"/>
      <c r="ADJ33" s="62"/>
      <c r="ADK33" s="62"/>
      <c r="ADL33" s="62"/>
      <c r="ADM33" s="62"/>
      <c r="ADN33" s="62"/>
      <c r="ADO33" s="62"/>
      <c r="ADP33" s="62"/>
      <c r="ADQ33" s="62"/>
      <c r="ADR33" s="62"/>
      <c r="ADS33" s="62"/>
      <c r="ADT33" s="62"/>
      <c r="ADU33" s="62"/>
      <c r="ADV33" s="62"/>
      <c r="ADW33" s="62"/>
      <c r="ADX33" s="62"/>
      <c r="ADY33" s="62"/>
      <c r="ADZ33" s="62"/>
      <c r="AEA33" s="62"/>
      <c r="AEB33" s="62"/>
      <c r="AEC33" s="62"/>
      <c r="AED33" s="62"/>
      <c r="AEE33" s="62"/>
      <c r="AEF33" s="62"/>
      <c r="AEG33" s="62"/>
      <c r="AEH33" s="62"/>
      <c r="AEI33" s="62"/>
      <c r="AEJ33" s="62"/>
      <c r="AEK33" s="62"/>
      <c r="AEL33" s="62"/>
      <c r="AEM33" s="62"/>
      <c r="AEN33" s="62"/>
      <c r="AEO33" s="62"/>
      <c r="AEP33" s="62"/>
      <c r="AEQ33" s="62"/>
      <c r="AER33" s="62"/>
      <c r="AES33" s="62"/>
      <c r="AET33" s="62"/>
      <c r="AEU33" s="62"/>
      <c r="AEV33" s="62"/>
      <c r="AEW33" s="62"/>
      <c r="AEX33" s="62"/>
      <c r="AEY33" s="62"/>
      <c r="AEZ33" s="62"/>
      <c r="AFA33" s="62"/>
      <c r="AFB33" s="62"/>
      <c r="AFC33" s="62"/>
      <c r="AFD33" s="62"/>
      <c r="AFE33" s="62"/>
      <c r="AFF33" s="62"/>
      <c r="AFG33" s="62"/>
      <c r="AFH33" s="62"/>
      <c r="AFI33" s="62"/>
      <c r="AFJ33" s="62"/>
      <c r="AFK33" s="62"/>
      <c r="AFL33" s="62"/>
      <c r="AFM33" s="62"/>
      <c r="AFN33" s="62"/>
      <c r="AFO33" s="62"/>
      <c r="AFP33" s="62"/>
      <c r="AFQ33" s="62"/>
      <c r="AFR33" s="62"/>
      <c r="AFS33" s="62"/>
      <c r="AFT33" s="62"/>
      <c r="AFU33" s="62"/>
      <c r="AFV33" s="62"/>
      <c r="AFW33" s="62"/>
      <c r="AFX33" s="62"/>
      <c r="AFY33" s="62"/>
      <c r="AFZ33" s="62"/>
      <c r="AGA33" s="62"/>
      <c r="AGB33" s="62"/>
      <c r="AGC33" s="62"/>
      <c r="AGD33" s="62"/>
      <c r="AGE33" s="62"/>
      <c r="AGF33" s="62"/>
      <c r="AGG33" s="62"/>
      <c r="AGH33" s="62"/>
      <c r="AGI33" s="62"/>
      <c r="AGJ33" s="62"/>
      <c r="AGK33" s="62"/>
      <c r="AGL33" s="62"/>
      <c r="AGM33" s="62"/>
      <c r="AGN33" s="62"/>
      <c r="AGO33" s="62"/>
      <c r="AGP33" s="62"/>
      <c r="AGQ33" s="62"/>
      <c r="AGR33" s="62"/>
      <c r="AGS33" s="62"/>
      <c r="AGT33" s="62"/>
      <c r="AGU33" s="62"/>
      <c r="AGV33" s="62"/>
      <c r="AGW33" s="62"/>
      <c r="AGX33" s="62"/>
      <c r="AGY33" s="62"/>
      <c r="AGZ33" s="62"/>
      <c r="AHA33" s="62"/>
      <c r="AHB33" s="62"/>
      <c r="AHC33" s="62"/>
      <c r="AHD33" s="62"/>
      <c r="AHE33" s="62"/>
      <c r="AHF33" s="62"/>
      <c r="AHG33" s="62"/>
      <c r="AHH33" s="62"/>
      <c r="AHI33" s="62"/>
      <c r="AHJ33" s="62"/>
      <c r="AHK33" s="62"/>
      <c r="AHL33" s="62"/>
      <c r="AHM33" s="62"/>
      <c r="AHN33" s="62"/>
      <c r="AHO33" s="62"/>
      <c r="AHP33" s="62"/>
      <c r="AHQ33" s="62"/>
      <c r="AHR33" s="62"/>
      <c r="AHS33" s="62"/>
      <c r="AHT33" s="62"/>
      <c r="AHU33" s="62"/>
      <c r="AHV33" s="62"/>
      <c r="AHW33" s="62"/>
      <c r="AHX33" s="62"/>
      <c r="AHY33" s="62"/>
      <c r="AHZ33" s="62"/>
      <c r="AIA33" s="62"/>
      <c r="AIB33" s="62"/>
      <c r="AIC33" s="62"/>
      <c r="AID33" s="62"/>
      <c r="AIE33" s="62"/>
      <c r="AIF33" s="62"/>
      <c r="AIG33" s="62"/>
      <c r="AIH33" s="62"/>
      <c r="AII33" s="62"/>
      <c r="AIJ33" s="62"/>
      <c r="AIK33" s="62"/>
      <c r="AIL33" s="62"/>
      <c r="AIM33" s="62"/>
      <c r="AIN33" s="62"/>
      <c r="AIO33" s="62"/>
      <c r="AIP33" s="62"/>
      <c r="AIQ33" s="62"/>
      <c r="AIR33" s="62"/>
      <c r="AIS33" s="62"/>
      <c r="AIT33" s="62"/>
      <c r="AIU33" s="62"/>
      <c r="AIV33" s="62"/>
      <c r="AIW33" s="62"/>
      <c r="AIX33" s="62"/>
      <c r="AIY33" s="62"/>
      <c r="AIZ33" s="62"/>
      <c r="AJA33" s="62"/>
      <c r="AJB33" s="62"/>
      <c r="AJC33" s="62"/>
      <c r="AJD33" s="62"/>
      <c r="AJE33" s="62"/>
      <c r="AJF33" s="62"/>
      <c r="AJG33" s="62"/>
      <c r="AJH33" s="62"/>
      <c r="AJI33" s="62"/>
      <c r="AJJ33" s="62"/>
      <c r="AJK33" s="62"/>
      <c r="AJL33" s="62"/>
      <c r="AJM33" s="62"/>
      <c r="AJN33" s="62"/>
      <c r="AJO33" s="62"/>
      <c r="AJP33" s="62"/>
      <c r="AJQ33" s="62"/>
      <c r="AJR33" s="62"/>
      <c r="AJS33" s="62"/>
      <c r="AJT33" s="62"/>
      <c r="AJU33" s="62"/>
      <c r="AJV33" s="62"/>
      <c r="AJW33" s="62"/>
      <c r="AJX33" s="62"/>
      <c r="AJY33" s="62"/>
      <c r="AJZ33" s="62"/>
      <c r="AKA33" s="62"/>
      <c r="AKB33" s="62"/>
      <c r="AKC33" s="62"/>
      <c r="AKD33" s="62"/>
      <c r="AKE33" s="62"/>
      <c r="AKF33" s="62"/>
      <c r="AKG33" s="62"/>
      <c r="AKH33" s="62"/>
      <c r="AKI33" s="62"/>
      <c r="AKJ33" s="62"/>
      <c r="AKK33" s="62"/>
      <c r="AKL33" s="62"/>
      <c r="AKM33" s="62"/>
      <c r="AKN33" s="62"/>
      <c r="AKO33" s="62"/>
      <c r="AKP33" s="62"/>
      <c r="AKQ33" s="62"/>
      <c r="AKR33" s="62"/>
      <c r="AKS33" s="62"/>
      <c r="AKT33" s="62"/>
      <c r="AKU33" s="62"/>
      <c r="AKV33" s="62"/>
      <c r="AKW33" s="62"/>
      <c r="AKX33" s="62"/>
      <c r="AKY33" s="62"/>
      <c r="AKZ33" s="62"/>
      <c r="ALA33" s="62"/>
      <c r="ALB33" s="62"/>
      <c r="ALC33" s="62"/>
      <c r="ALD33" s="62"/>
      <c r="ALE33" s="62"/>
      <c r="ALF33" s="62"/>
      <c r="ALG33" s="62"/>
      <c r="ALH33" s="62"/>
      <c r="ALI33" s="62"/>
      <c r="ALJ33" s="62"/>
      <c r="ALK33" s="62"/>
      <c r="ALL33" s="62"/>
      <c r="ALM33" s="62"/>
      <c r="ALN33" s="62"/>
      <c r="ALO33" s="62"/>
      <c r="ALP33" s="62"/>
      <c r="ALQ33" s="62"/>
      <c r="ALR33" s="62"/>
      <c r="ALS33" s="62"/>
      <c r="ALT33" s="62"/>
      <c r="ALU33" s="62"/>
      <c r="ALV33" s="62"/>
      <c r="ALW33" s="62"/>
      <c r="ALX33" s="62"/>
      <c r="ALY33" s="62"/>
      <c r="ALZ33" s="62"/>
      <c r="AMA33" s="62"/>
      <c r="AMB33" s="62"/>
      <c r="AMC33" s="62"/>
      <c r="AMD33" s="62"/>
      <c r="AME33" s="62"/>
      <c r="AMF33" s="62"/>
      <c r="AMG33" s="62"/>
      <c r="AMH33" s="62"/>
      <c r="AMI33" s="62"/>
      <c r="AMJ33" s="62"/>
    </row>
    <row r="34" spans="1:12" ht="15">
      <c r="A34" s="62"/>
      <c r="B34" s="57"/>
      <c r="C34" s="698" t="s">
        <v>1439</v>
      </c>
      <c r="D34" s="698"/>
      <c r="E34" s="698"/>
      <c r="F34" s="58">
        <f t="shared" si="0"/>
        <v>0</v>
      </c>
      <c r="G34" s="58">
        <f>'1.3.H LPS'!G35+'1.3.H LPS'!G102</f>
        <v>0</v>
      </c>
      <c r="H34" s="59"/>
      <c r="I34" s="60">
        <f t="shared" si="1"/>
        <v>0</v>
      </c>
      <c r="K34" s="61"/>
      <c r="L34" s="61"/>
    </row>
    <row r="35" spans="1:1024" s="83" customFormat="1" ht="15">
      <c r="A35" s="62"/>
      <c r="B35" s="57"/>
      <c r="C35" s="698" t="s">
        <v>1440</v>
      </c>
      <c r="D35" s="698"/>
      <c r="E35" s="698"/>
      <c r="F35" s="58">
        <f aca="true" t="shared" si="6" ref="F35">G35+H35+I35</f>
        <v>0</v>
      </c>
      <c r="G35" s="58">
        <f>'1.3.M LPS'!G30+'1.3.M LPS'!G94</f>
        <v>0</v>
      </c>
      <c r="H35" s="59"/>
      <c r="I35" s="60">
        <f aca="true" t="shared" si="7" ref="I35">(G35*SazbaDPH1)/100+(H35*SazbaDPH2)/100</f>
        <v>0</v>
      </c>
      <c r="J35" s="62"/>
      <c r="K35" s="61"/>
      <c r="L35" s="61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  <c r="IR35" s="62"/>
      <c r="IS35" s="62"/>
      <c r="IT35" s="62"/>
      <c r="IU35" s="62"/>
      <c r="IV35" s="62"/>
      <c r="IW35" s="62"/>
      <c r="IX35" s="62"/>
      <c r="IY35" s="62"/>
      <c r="IZ35" s="62"/>
      <c r="JA35" s="62"/>
      <c r="JB35" s="62"/>
      <c r="JC35" s="62"/>
      <c r="JD35" s="62"/>
      <c r="JE35" s="62"/>
      <c r="JF35" s="62"/>
      <c r="JG35" s="62"/>
      <c r="JH35" s="62"/>
      <c r="JI35" s="62"/>
      <c r="JJ35" s="62"/>
      <c r="JK35" s="62"/>
      <c r="JL35" s="62"/>
      <c r="JM35" s="62"/>
      <c r="JN35" s="62"/>
      <c r="JO35" s="62"/>
      <c r="JP35" s="62"/>
      <c r="JQ35" s="62"/>
      <c r="JR35" s="62"/>
      <c r="JS35" s="62"/>
      <c r="JT35" s="62"/>
      <c r="JU35" s="62"/>
      <c r="JV35" s="62"/>
      <c r="JW35" s="62"/>
      <c r="JX35" s="62"/>
      <c r="JY35" s="62"/>
      <c r="JZ35" s="62"/>
      <c r="KA35" s="62"/>
      <c r="KB35" s="62"/>
      <c r="KC35" s="62"/>
      <c r="KD35" s="62"/>
      <c r="KE35" s="62"/>
      <c r="KF35" s="62"/>
      <c r="KG35" s="62"/>
      <c r="KH35" s="62"/>
      <c r="KI35" s="62"/>
      <c r="KJ35" s="62"/>
      <c r="KK35" s="62"/>
      <c r="KL35" s="62"/>
      <c r="KM35" s="62"/>
      <c r="KN35" s="62"/>
      <c r="KO35" s="62"/>
      <c r="KP35" s="62"/>
      <c r="KQ35" s="62"/>
      <c r="KR35" s="62"/>
      <c r="KS35" s="62"/>
      <c r="KT35" s="62"/>
      <c r="KU35" s="62"/>
      <c r="KV35" s="62"/>
      <c r="KW35" s="62"/>
      <c r="KX35" s="62"/>
      <c r="KY35" s="62"/>
      <c r="KZ35" s="62"/>
      <c r="LA35" s="62"/>
      <c r="LB35" s="62"/>
      <c r="LC35" s="62"/>
      <c r="LD35" s="62"/>
      <c r="LE35" s="62"/>
      <c r="LF35" s="62"/>
      <c r="LG35" s="62"/>
      <c r="LH35" s="62"/>
      <c r="LI35" s="62"/>
      <c r="LJ35" s="62"/>
      <c r="LK35" s="62"/>
      <c r="LL35" s="62"/>
      <c r="LM35" s="62"/>
      <c r="LN35" s="62"/>
      <c r="LO35" s="62"/>
      <c r="LP35" s="62"/>
      <c r="LQ35" s="62"/>
      <c r="LR35" s="62"/>
      <c r="LS35" s="62"/>
      <c r="LT35" s="62"/>
      <c r="LU35" s="62"/>
      <c r="LV35" s="62"/>
      <c r="LW35" s="62"/>
      <c r="LX35" s="62"/>
      <c r="LY35" s="62"/>
      <c r="LZ35" s="62"/>
      <c r="MA35" s="62"/>
      <c r="MB35" s="62"/>
      <c r="MC35" s="62"/>
      <c r="MD35" s="62"/>
      <c r="ME35" s="62"/>
      <c r="MF35" s="62"/>
      <c r="MG35" s="62"/>
      <c r="MH35" s="62"/>
      <c r="MI35" s="62"/>
      <c r="MJ35" s="62"/>
      <c r="MK35" s="62"/>
      <c r="ML35" s="62"/>
      <c r="MM35" s="62"/>
      <c r="MN35" s="62"/>
      <c r="MO35" s="62"/>
      <c r="MP35" s="62"/>
      <c r="MQ35" s="62"/>
      <c r="MR35" s="62"/>
      <c r="MS35" s="62"/>
      <c r="MT35" s="62"/>
      <c r="MU35" s="62"/>
      <c r="MV35" s="62"/>
      <c r="MW35" s="62"/>
      <c r="MX35" s="62"/>
      <c r="MY35" s="62"/>
      <c r="MZ35" s="62"/>
      <c r="NA35" s="62"/>
      <c r="NB35" s="62"/>
      <c r="NC35" s="62"/>
      <c r="ND35" s="62"/>
      <c r="NE35" s="62"/>
      <c r="NF35" s="62"/>
      <c r="NG35" s="62"/>
      <c r="NH35" s="62"/>
      <c r="NI35" s="62"/>
      <c r="NJ35" s="62"/>
      <c r="NK35" s="62"/>
      <c r="NL35" s="62"/>
      <c r="NM35" s="62"/>
      <c r="NN35" s="62"/>
      <c r="NO35" s="62"/>
      <c r="NP35" s="62"/>
      <c r="NQ35" s="62"/>
      <c r="NR35" s="62"/>
      <c r="NS35" s="62"/>
      <c r="NT35" s="62"/>
      <c r="NU35" s="62"/>
      <c r="NV35" s="62"/>
      <c r="NW35" s="62"/>
      <c r="NX35" s="62"/>
      <c r="NY35" s="62"/>
      <c r="NZ35" s="62"/>
      <c r="OA35" s="62"/>
      <c r="OB35" s="62"/>
      <c r="OC35" s="62"/>
      <c r="OD35" s="62"/>
      <c r="OE35" s="62"/>
      <c r="OF35" s="62"/>
      <c r="OG35" s="62"/>
      <c r="OH35" s="62"/>
      <c r="OI35" s="62"/>
      <c r="OJ35" s="62"/>
      <c r="OK35" s="62"/>
      <c r="OL35" s="62"/>
      <c r="OM35" s="62"/>
      <c r="ON35" s="62"/>
      <c r="OO35" s="62"/>
      <c r="OP35" s="62"/>
      <c r="OQ35" s="62"/>
      <c r="OR35" s="62"/>
      <c r="OS35" s="62"/>
      <c r="OT35" s="62"/>
      <c r="OU35" s="62"/>
      <c r="OV35" s="62"/>
      <c r="OW35" s="62"/>
      <c r="OX35" s="62"/>
      <c r="OY35" s="62"/>
      <c r="OZ35" s="62"/>
      <c r="PA35" s="62"/>
      <c r="PB35" s="62"/>
      <c r="PC35" s="62"/>
      <c r="PD35" s="62"/>
      <c r="PE35" s="62"/>
      <c r="PF35" s="62"/>
      <c r="PG35" s="62"/>
      <c r="PH35" s="62"/>
      <c r="PI35" s="62"/>
      <c r="PJ35" s="62"/>
      <c r="PK35" s="62"/>
      <c r="PL35" s="62"/>
      <c r="PM35" s="62"/>
      <c r="PN35" s="62"/>
      <c r="PO35" s="62"/>
      <c r="PP35" s="62"/>
      <c r="PQ35" s="62"/>
      <c r="PR35" s="62"/>
      <c r="PS35" s="62"/>
      <c r="PT35" s="62"/>
      <c r="PU35" s="62"/>
      <c r="PV35" s="62"/>
      <c r="PW35" s="62"/>
      <c r="PX35" s="62"/>
      <c r="PY35" s="62"/>
      <c r="PZ35" s="62"/>
      <c r="QA35" s="62"/>
      <c r="QB35" s="62"/>
      <c r="QC35" s="62"/>
      <c r="QD35" s="62"/>
      <c r="QE35" s="62"/>
      <c r="QF35" s="62"/>
      <c r="QG35" s="62"/>
      <c r="QH35" s="62"/>
      <c r="QI35" s="62"/>
      <c r="QJ35" s="62"/>
      <c r="QK35" s="62"/>
      <c r="QL35" s="62"/>
      <c r="QM35" s="62"/>
      <c r="QN35" s="62"/>
      <c r="QO35" s="62"/>
      <c r="QP35" s="62"/>
      <c r="QQ35" s="62"/>
      <c r="QR35" s="62"/>
      <c r="QS35" s="62"/>
      <c r="QT35" s="62"/>
      <c r="QU35" s="62"/>
      <c r="QV35" s="62"/>
      <c r="QW35" s="62"/>
      <c r="QX35" s="62"/>
      <c r="QY35" s="62"/>
      <c r="QZ35" s="62"/>
      <c r="RA35" s="62"/>
      <c r="RB35" s="62"/>
      <c r="RC35" s="62"/>
      <c r="RD35" s="62"/>
      <c r="RE35" s="62"/>
      <c r="RF35" s="62"/>
      <c r="RG35" s="62"/>
      <c r="RH35" s="62"/>
      <c r="RI35" s="62"/>
      <c r="RJ35" s="62"/>
      <c r="RK35" s="62"/>
      <c r="RL35" s="62"/>
      <c r="RM35" s="62"/>
      <c r="RN35" s="62"/>
      <c r="RO35" s="62"/>
      <c r="RP35" s="62"/>
      <c r="RQ35" s="62"/>
      <c r="RR35" s="62"/>
      <c r="RS35" s="62"/>
      <c r="RT35" s="62"/>
      <c r="RU35" s="62"/>
      <c r="RV35" s="62"/>
      <c r="RW35" s="62"/>
      <c r="RX35" s="62"/>
      <c r="RY35" s="62"/>
      <c r="RZ35" s="62"/>
      <c r="SA35" s="62"/>
      <c r="SB35" s="62"/>
      <c r="SC35" s="62"/>
      <c r="SD35" s="62"/>
      <c r="SE35" s="62"/>
      <c r="SF35" s="62"/>
      <c r="SG35" s="62"/>
      <c r="SH35" s="62"/>
      <c r="SI35" s="62"/>
      <c r="SJ35" s="62"/>
      <c r="SK35" s="62"/>
      <c r="SL35" s="62"/>
      <c r="SM35" s="62"/>
      <c r="SN35" s="62"/>
      <c r="SO35" s="62"/>
      <c r="SP35" s="62"/>
      <c r="SQ35" s="62"/>
      <c r="SR35" s="62"/>
      <c r="SS35" s="62"/>
      <c r="ST35" s="62"/>
      <c r="SU35" s="62"/>
      <c r="SV35" s="62"/>
      <c r="SW35" s="62"/>
      <c r="SX35" s="62"/>
      <c r="SY35" s="62"/>
      <c r="SZ35" s="62"/>
      <c r="TA35" s="62"/>
      <c r="TB35" s="62"/>
      <c r="TC35" s="62"/>
      <c r="TD35" s="62"/>
      <c r="TE35" s="62"/>
      <c r="TF35" s="62"/>
      <c r="TG35" s="62"/>
      <c r="TH35" s="62"/>
      <c r="TI35" s="62"/>
      <c r="TJ35" s="62"/>
      <c r="TK35" s="62"/>
      <c r="TL35" s="62"/>
      <c r="TM35" s="62"/>
      <c r="TN35" s="62"/>
      <c r="TO35" s="62"/>
      <c r="TP35" s="62"/>
      <c r="TQ35" s="62"/>
      <c r="TR35" s="62"/>
      <c r="TS35" s="62"/>
      <c r="TT35" s="62"/>
      <c r="TU35" s="62"/>
      <c r="TV35" s="62"/>
      <c r="TW35" s="62"/>
      <c r="TX35" s="62"/>
      <c r="TY35" s="62"/>
      <c r="TZ35" s="62"/>
      <c r="UA35" s="62"/>
      <c r="UB35" s="62"/>
      <c r="UC35" s="62"/>
      <c r="UD35" s="62"/>
      <c r="UE35" s="62"/>
      <c r="UF35" s="62"/>
      <c r="UG35" s="62"/>
      <c r="UH35" s="62"/>
      <c r="UI35" s="62"/>
      <c r="UJ35" s="62"/>
      <c r="UK35" s="62"/>
      <c r="UL35" s="62"/>
      <c r="UM35" s="62"/>
      <c r="UN35" s="62"/>
      <c r="UO35" s="62"/>
      <c r="UP35" s="62"/>
      <c r="UQ35" s="62"/>
      <c r="UR35" s="62"/>
      <c r="US35" s="62"/>
      <c r="UT35" s="62"/>
      <c r="UU35" s="62"/>
      <c r="UV35" s="62"/>
      <c r="UW35" s="62"/>
      <c r="UX35" s="62"/>
      <c r="UY35" s="62"/>
      <c r="UZ35" s="62"/>
      <c r="VA35" s="62"/>
      <c r="VB35" s="62"/>
      <c r="VC35" s="62"/>
      <c r="VD35" s="62"/>
      <c r="VE35" s="62"/>
      <c r="VF35" s="62"/>
      <c r="VG35" s="62"/>
      <c r="VH35" s="62"/>
      <c r="VI35" s="62"/>
      <c r="VJ35" s="62"/>
      <c r="VK35" s="62"/>
      <c r="VL35" s="62"/>
      <c r="VM35" s="62"/>
      <c r="VN35" s="62"/>
      <c r="VO35" s="62"/>
      <c r="VP35" s="62"/>
      <c r="VQ35" s="62"/>
      <c r="VR35" s="62"/>
      <c r="VS35" s="62"/>
      <c r="VT35" s="62"/>
      <c r="VU35" s="62"/>
      <c r="VV35" s="62"/>
      <c r="VW35" s="62"/>
      <c r="VX35" s="62"/>
      <c r="VY35" s="62"/>
      <c r="VZ35" s="62"/>
      <c r="WA35" s="62"/>
      <c r="WB35" s="62"/>
      <c r="WC35" s="62"/>
      <c r="WD35" s="62"/>
      <c r="WE35" s="62"/>
      <c r="WF35" s="62"/>
      <c r="WG35" s="62"/>
      <c r="WH35" s="62"/>
      <c r="WI35" s="62"/>
      <c r="WJ35" s="62"/>
      <c r="WK35" s="62"/>
      <c r="WL35" s="62"/>
      <c r="WM35" s="62"/>
      <c r="WN35" s="62"/>
      <c r="WO35" s="62"/>
      <c r="WP35" s="62"/>
      <c r="WQ35" s="62"/>
      <c r="WR35" s="62"/>
      <c r="WS35" s="62"/>
      <c r="WT35" s="62"/>
      <c r="WU35" s="62"/>
      <c r="WV35" s="62"/>
      <c r="WW35" s="62"/>
      <c r="WX35" s="62"/>
      <c r="WY35" s="62"/>
      <c r="WZ35" s="62"/>
      <c r="XA35" s="62"/>
      <c r="XB35" s="62"/>
      <c r="XC35" s="62"/>
      <c r="XD35" s="62"/>
      <c r="XE35" s="62"/>
      <c r="XF35" s="62"/>
      <c r="XG35" s="62"/>
      <c r="XH35" s="62"/>
      <c r="XI35" s="62"/>
      <c r="XJ35" s="62"/>
      <c r="XK35" s="62"/>
      <c r="XL35" s="62"/>
      <c r="XM35" s="62"/>
      <c r="XN35" s="62"/>
      <c r="XO35" s="62"/>
      <c r="XP35" s="62"/>
      <c r="XQ35" s="62"/>
      <c r="XR35" s="62"/>
      <c r="XS35" s="62"/>
      <c r="XT35" s="62"/>
      <c r="XU35" s="62"/>
      <c r="XV35" s="62"/>
      <c r="XW35" s="62"/>
      <c r="XX35" s="62"/>
      <c r="XY35" s="62"/>
      <c r="XZ35" s="62"/>
      <c r="YA35" s="62"/>
      <c r="YB35" s="62"/>
      <c r="YC35" s="62"/>
      <c r="YD35" s="62"/>
      <c r="YE35" s="62"/>
      <c r="YF35" s="62"/>
      <c r="YG35" s="62"/>
      <c r="YH35" s="62"/>
      <c r="YI35" s="62"/>
      <c r="YJ35" s="62"/>
      <c r="YK35" s="62"/>
      <c r="YL35" s="62"/>
      <c r="YM35" s="62"/>
      <c r="YN35" s="62"/>
      <c r="YO35" s="62"/>
      <c r="YP35" s="62"/>
      <c r="YQ35" s="62"/>
      <c r="YR35" s="62"/>
      <c r="YS35" s="62"/>
      <c r="YT35" s="62"/>
      <c r="YU35" s="62"/>
      <c r="YV35" s="62"/>
      <c r="YW35" s="62"/>
      <c r="YX35" s="62"/>
      <c r="YY35" s="62"/>
      <c r="YZ35" s="62"/>
      <c r="ZA35" s="62"/>
      <c r="ZB35" s="62"/>
      <c r="ZC35" s="62"/>
      <c r="ZD35" s="62"/>
      <c r="ZE35" s="62"/>
      <c r="ZF35" s="62"/>
      <c r="ZG35" s="62"/>
      <c r="ZH35" s="62"/>
      <c r="ZI35" s="62"/>
      <c r="ZJ35" s="62"/>
      <c r="ZK35" s="62"/>
      <c r="ZL35" s="62"/>
      <c r="ZM35" s="62"/>
      <c r="ZN35" s="62"/>
      <c r="ZO35" s="62"/>
      <c r="ZP35" s="62"/>
      <c r="ZQ35" s="62"/>
      <c r="ZR35" s="62"/>
      <c r="ZS35" s="62"/>
      <c r="ZT35" s="62"/>
      <c r="ZU35" s="62"/>
      <c r="ZV35" s="62"/>
      <c r="ZW35" s="62"/>
      <c r="ZX35" s="62"/>
      <c r="ZY35" s="62"/>
      <c r="ZZ35" s="62"/>
      <c r="AAA35" s="62"/>
      <c r="AAB35" s="62"/>
      <c r="AAC35" s="62"/>
      <c r="AAD35" s="62"/>
      <c r="AAE35" s="62"/>
      <c r="AAF35" s="62"/>
      <c r="AAG35" s="62"/>
      <c r="AAH35" s="62"/>
      <c r="AAI35" s="62"/>
      <c r="AAJ35" s="62"/>
      <c r="AAK35" s="62"/>
      <c r="AAL35" s="62"/>
      <c r="AAM35" s="62"/>
      <c r="AAN35" s="62"/>
      <c r="AAO35" s="62"/>
      <c r="AAP35" s="62"/>
      <c r="AAQ35" s="62"/>
      <c r="AAR35" s="62"/>
      <c r="AAS35" s="62"/>
      <c r="AAT35" s="62"/>
      <c r="AAU35" s="62"/>
      <c r="AAV35" s="62"/>
      <c r="AAW35" s="62"/>
      <c r="AAX35" s="62"/>
      <c r="AAY35" s="62"/>
      <c r="AAZ35" s="62"/>
      <c r="ABA35" s="62"/>
      <c r="ABB35" s="62"/>
      <c r="ABC35" s="62"/>
      <c r="ABD35" s="62"/>
      <c r="ABE35" s="62"/>
      <c r="ABF35" s="62"/>
      <c r="ABG35" s="62"/>
      <c r="ABH35" s="62"/>
      <c r="ABI35" s="62"/>
      <c r="ABJ35" s="62"/>
      <c r="ABK35" s="62"/>
      <c r="ABL35" s="62"/>
      <c r="ABM35" s="62"/>
      <c r="ABN35" s="62"/>
      <c r="ABO35" s="62"/>
      <c r="ABP35" s="62"/>
      <c r="ABQ35" s="62"/>
      <c r="ABR35" s="62"/>
      <c r="ABS35" s="62"/>
      <c r="ABT35" s="62"/>
      <c r="ABU35" s="62"/>
      <c r="ABV35" s="62"/>
      <c r="ABW35" s="62"/>
      <c r="ABX35" s="62"/>
      <c r="ABY35" s="62"/>
      <c r="ABZ35" s="62"/>
      <c r="ACA35" s="62"/>
      <c r="ACB35" s="62"/>
      <c r="ACC35" s="62"/>
      <c r="ACD35" s="62"/>
      <c r="ACE35" s="62"/>
      <c r="ACF35" s="62"/>
      <c r="ACG35" s="62"/>
      <c r="ACH35" s="62"/>
      <c r="ACI35" s="62"/>
      <c r="ACJ35" s="62"/>
      <c r="ACK35" s="62"/>
      <c r="ACL35" s="62"/>
      <c r="ACM35" s="62"/>
      <c r="ACN35" s="62"/>
      <c r="ACO35" s="62"/>
      <c r="ACP35" s="62"/>
      <c r="ACQ35" s="62"/>
      <c r="ACR35" s="62"/>
      <c r="ACS35" s="62"/>
      <c r="ACT35" s="62"/>
      <c r="ACU35" s="62"/>
      <c r="ACV35" s="62"/>
      <c r="ACW35" s="62"/>
      <c r="ACX35" s="62"/>
      <c r="ACY35" s="62"/>
      <c r="ACZ35" s="62"/>
      <c r="ADA35" s="62"/>
      <c r="ADB35" s="62"/>
      <c r="ADC35" s="62"/>
      <c r="ADD35" s="62"/>
      <c r="ADE35" s="62"/>
      <c r="ADF35" s="62"/>
      <c r="ADG35" s="62"/>
      <c r="ADH35" s="62"/>
      <c r="ADI35" s="62"/>
      <c r="ADJ35" s="62"/>
      <c r="ADK35" s="62"/>
      <c r="ADL35" s="62"/>
      <c r="ADM35" s="62"/>
      <c r="ADN35" s="62"/>
      <c r="ADO35" s="62"/>
      <c r="ADP35" s="62"/>
      <c r="ADQ35" s="62"/>
      <c r="ADR35" s="62"/>
      <c r="ADS35" s="62"/>
      <c r="ADT35" s="62"/>
      <c r="ADU35" s="62"/>
      <c r="ADV35" s="62"/>
      <c r="ADW35" s="62"/>
      <c r="ADX35" s="62"/>
      <c r="ADY35" s="62"/>
      <c r="ADZ35" s="62"/>
      <c r="AEA35" s="62"/>
      <c r="AEB35" s="62"/>
      <c r="AEC35" s="62"/>
      <c r="AED35" s="62"/>
      <c r="AEE35" s="62"/>
      <c r="AEF35" s="62"/>
      <c r="AEG35" s="62"/>
      <c r="AEH35" s="62"/>
      <c r="AEI35" s="62"/>
      <c r="AEJ35" s="62"/>
      <c r="AEK35" s="62"/>
      <c r="AEL35" s="62"/>
      <c r="AEM35" s="62"/>
      <c r="AEN35" s="62"/>
      <c r="AEO35" s="62"/>
      <c r="AEP35" s="62"/>
      <c r="AEQ35" s="62"/>
      <c r="AER35" s="62"/>
      <c r="AES35" s="62"/>
      <c r="AET35" s="62"/>
      <c r="AEU35" s="62"/>
      <c r="AEV35" s="62"/>
      <c r="AEW35" s="62"/>
      <c r="AEX35" s="62"/>
      <c r="AEY35" s="62"/>
      <c r="AEZ35" s="62"/>
      <c r="AFA35" s="62"/>
      <c r="AFB35" s="62"/>
      <c r="AFC35" s="62"/>
      <c r="AFD35" s="62"/>
      <c r="AFE35" s="62"/>
      <c r="AFF35" s="62"/>
      <c r="AFG35" s="62"/>
      <c r="AFH35" s="62"/>
      <c r="AFI35" s="62"/>
      <c r="AFJ35" s="62"/>
      <c r="AFK35" s="62"/>
      <c r="AFL35" s="62"/>
      <c r="AFM35" s="62"/>
      <c r="AFN35" s="62"/>
      <c r="AFO35" s="62"/>
      <c r="AFP35" s="62"/>
      <c r="AFQ35" s="62"/>
      <c r="AFR35" s="62"/>
      <c r="AFS35" s="62"/>
      <c r="AFT35" s="62"/>
      <c r="AFU35" s="62"/>
      <c r="AFV35" s="62"/>
      <c r="AFW35" s="62"/>
      <c r="AFX35" s="62"/>
      <c r="AFY35" s="62"/>
      <c r="AFZ35" s="62"/>
      <c r="AGA35" s="62"/>
      <c r="AGB35" s="62"/>
      <c r="AGC35" s="62"/>
      <c r="AGD35" s="62"/>
      <c r="AGE35" s="62"/>
      <c r="AGF35" s="62"/>
      <c r="AGG35" s="62"/>
      <c r="AGH35" s="62"/>
      <c r="AGI35" s="62"/>
      <c r="AGJ35" s="62"/>
      <c r="AGK35" s="62"/>
      <c r="AGL35" s="62"/>
      <c r="AGM35" s="62"/>
      <c r="AGN35" s="62"/>
      <c r="AGO35" s="62"/>
      <c r="AGP35" s="62"/>
      <c r="AGQ35" s="62"/>
      <c r="AGR35" s="62"/>
      <c r="AGS35" s="62"/>
      <c r="AGT35" s="62"/>
      <c r="AGU35" s="62"/>
      <c r="AGV35" s="62"/>
      <c r="AGW35" s="62"/>
      <c r="AGX35" s="62"/>
      <c r="AGY35" s="62"/>
      <c r="AGZ35" s="62"/>
      <c r="AHA35" s="62"/>
      <c r="AHB35" s="62"/>
      <c r="AHC35" s="62"/>
      <c r="AHD35" s="62"/>
      <c r="AHE35" s="62"/>
      <c r="AHF35" s="62"/>
      <c r="AHG35" s="62"/>
      <c r="AHH35" s="62"/>
      <c r="AHI35" s="62"/>
      <c r="AHJ35" s="62"/>
      <c r="AHK35" s="62"/>
      <c r="AHL35" s="62"/>
      <c r="AHM35" s="62"/>
      <c r="AHN35" s="62"/>
      <c r="AHO35" s="62"/>
      <c r="AHP35" s="62"/>
      <c r="AHQ35" s="62"/>
      <c r="AHR35" s="62"/>
      <c r="AHS35" s="62"/>
      <c r="AHT35" s="62"/>
      <c r="AHU35" s="62"/>
      <c r="AHV35" s="62"/>
      <c r="AHW35" s="62"/>
      <c r="AHX35" s="62"/>
      <c r="AHY35" s="62"/>
      <c r="AHZ35" s="62"/>
      <c r="AIA35" s="62"/>
      <c r="AIB35" s="62"/>
      <c r="AIC35" s="62"/>
      <c r="AID35" s="62"/>
      <c r="AIE35" s="62"/>
      <c r="AIF35" s="62"/>
      <c r="AIG35" s="62"/>
      <c r="AIH35" s="62"/>
      <c r="AII35" s="62"/>
      <c r="AIJ35" s="62"/>
      <c r="AIK35" s="62"/>
      <c r="AIL35" s="62"/>
      <c r="AIM35" s="62"/>
      <c r="AIN35" s="62"/>
      <c r="AIO35" s="62"/>
      <c r="AIP35" s="62"/>
      <c r="AIQ35" s="62"/>
      <c r="AIR35" s="62"/>
      <c r="AIS35" s="62"/>
      <c r="AIT35" s="62"/>
      <c r="AIU35" s="62"/>
      <c r="AIV35" s="62"/>
      <c r="AIW35" s="62"/>
      <c r="AIX35" s="62"/>
      <c r="AIY35" s="62"/>
      <c r="AIZ35" s="62"/>
      <c r="AJA35" s="62"/>
      <c r="AJB35" s="62"/>
      <c r="AJC35" s="62"/>
      <c r="AJD35" s="62"/>
      <c r="AJE35" s="62"/>
      <c r="AJF35" s="62"/>
      <c r="AJG35" s="62"/>
      <c r="AJH35" s="62"/>
      <c r="AJI35" s="62"/>
      <c r="AJJ35" s="62"/>
      <c r="AJK35" s="62"/>
      <c r="AJL35" s="62"/>
      <c r="AJM35" s="62"/>
      <c r="AJN35" s="62"/>
      <c r="AJO35" s="62"/>
      <c r="AJP35" s="62"/>
      <c r="AJQ35" s="62"/>
      <c r="AJR35" s="62"/>
      <c r="AJS35" s="62"/>
      <c r="AJT35" s="62"/>
      <c r="AJU35" s="62"/>
      <c r="AJV35" s="62"/>
      <c r="AJW35" s="62"/>
      <c r="AJX35" s="62"/>
      <c r="AJY35" s="62"/>
      <c r="AJZ35" s="62"/>
      <c r="AKA35" s="62"/>
      <c r="AKB35" s="62"/>
      <c r="AKC35" s="62"/>
      <c r="AKD35" s="62"/>
      <c r="AKE35" s="62"/>
      <c r="AKF35" s="62"/>
      <c r="AKG35" s="62"/>
      <c r="AKH35" s="62"/>
      <c r="AKI35" s="62"/>
      <c r="AKJ35" s="62"/>
      <c r="AKK35" s="62"/>
      <c r="AKL35" s="62"/>
      <c r="AKM35" s="62"/>
      <c r="AKN35" s="62"/>
      <c r="AKO35" s="62"/>
      <c r="AKP35" s="62"/>
      <c r="AKQ35" s="62"/>
      <c r="AKR35" s="62"/>
      <c r="AKS35" s="62"/>
      <c r="AKT35" s="62"/>
      <c r="AKU35" s="62"/>
      <c r="AKV35" s="62"/>
      <c r="AKW35" s="62"/>
      <c r="AKX35" s="62"/>
      <c r="AKY35" s="62"/>
      <c r="AKZ35" s="62"/>
      <c r="ALA35" s="62"/>
      <c r="ALB35" s="62"/>
      <c r="ALC35" s="62"/>
      <c r="ALD35" s="62"/>
      <c r="ALE35" s="62"/>
      <c r="ALF35" s="62"/>
      <c r="ALG35" s="62"/>
      <c r="ALH35" s="62"/>
      <c r="ALI35" s="62"/>
      <c r="ALJ35" s="62"/>
      <c r="ALK35" s="62"/>
      <c r="ALL35" s="62"/>
      <c r="ALM35" s="62"/>
      <c r="ALN35" s="62"/>
      <c r="ALO35" s="62"/>
      <c r="ALP35" s="62"/>
      <c r="ALQ35" s="62"/>
      <c r="ALR35" s="62"/>
      <c r="ALS35" s="62"/>
      <c r="ALT35" s="62"/>
      <c r="ALU35" s="62"/>
      <c r="ALV35" s="62"/>
      <c r="ALW35" s="62"/>
      <c r="ALX35" s="62"/>
      <c r="ALY35" s="62"/>
      <c r="ALZ35" s="62"/>
      <c r="AMA35" s="62"/>
      <c r="AMB35" s="62"/>
      <c r="AMC35" s="62"/>
      <c r="AMD35" s="62"/>
      <c r="AME35" s="62"/>
      <c r="AMF35" s="62"/>
      <c r="AMG35" s="62"/>
      <c r="AMH35" s="62"/>
      <c r="AMI35" s="62"/>
      <c r="AMJ35" s="62"/>
    </row>
    <row r="36" spans="1:12" ht="15">
      <c r="A36" s="62"/>
      <c r="B36" s="57"/>
      <c r="C36" s="698" t="s">
        <v>1369</v>
      </c>
      <c r="D36" s="698"/>
      <c r="E36" s="698"/>
      <c r="F36" s="58">
        <f t="shared" si="0"/>
        <v>0</v>
      </c>
      <c r="G36" s="58">
        <f>'1.4. Všeobecné konstrukce'!G13</f>
        <v>0</v>
      </c>
      <c r="H36" s="59"/>
      <c r="I36" s="60">
        <f t="shared" si="1"/>
        <v>0</v>
      </c>
      <c r="K36" s="61"/>
      <c r="L36" s="61"/>
    </row>
    <row r="37" spans="1:1024" s="83" customFormat="1" ht="15">
      <c r="A37" s="62"/>
      <c r="B37" s="57"/>
      <c r="C37" s="698" t="s">
        <v>1442</v>
      </c>
      <c r="D37" s="698"/>
      <c r="E37" s="698"/>
      <c r="F37" s="58">
        <f t="shared" si="0"/>
        <v>0</v>
      </c>
      <c r="G37" s="58">
        <f>'2.1.H Stavební rozpočet'!H164</f>
        <v>0</v>
      </c>
      <c r="H37" s="59"/>
      <c r="I37" s="60">
        <f t="shared" si="1"/>
        <v>0</v>
      </c>
      <c r="J37" s="62"/>
      <c r="K37" s="61"/>
      <c r="L37" s="61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  <c r="IT37" s="62"/>
      <c r="IU37" s="62"/>
      <c r="IV37" s="62"/>
      <c r="IW37" s="62"/>
      <c r="IX37" s="62"/>
      <c r="IY37" s="62"/>
      <c r="IZ37" s="62"/>
      <c r="JA37" s="62"/>
      <c r="JB37" s="62"/>
      <c r="JC37" s="62"/>
      <c r="JD37" s="62"/>
      <c r="JE37" s="62"/>
      <c r="JF37" s="62"/>
      <c r="JG37" s="62"/>
      <c r="JH37" s="62"/>
      <c r="JI37" s="62"/>
      <c r="JJ37" s="62"/>
      <c r="JK37" s="62"/>
      <c r="JL37" s="62"/>
      <c r="JM37" s="62"/>
      <c r="JN37" s="62"/>
      <c r="JO37" s="62"/>
      <c r="JP37" s="62"/>
      <c r="JQ37" s="62"/>
      <c r="JR37" s="62"/>
      <c r="JS37" s="62"/>
      <c r="JT37" s="62"/>
      <c r="JU37" s="62"/>
      <c r="JV37" s="62"/>
      <c r="JW37" s="62"/>
      <c r="JX37" s="62"/>
      <c r="JY37" s="62"/>
      <c r="JZ37" s="62"/>
      <c r="KA37" s="62"/>
      <c r="KB37" s="62"/>
      <c r="KC37" s="62"/>
      <c r="KD37" s="62"/>
      <c r="KE37" s="62"/>
      <c r="KF37" s="62"/>
      <c r="KG37" s="62"/>
      <c r="KH37" s="62"/>
      <c r="KI37" s="62"/>
      <c r="KJ37" s="62"/>
      <c r="KK37" s="62"/>
      <c r="KL37" s="62"/>
      <c r="KM37" s="62"/>
      <c r="KN37" s="62"/>
      <c r="KO37" s="62"/>
      <c r="KP37" s="62"/>
      <c r="KQ37" s="62"/>
      <c r="KR37" s="62"/>
      <c r="KS37" s="62"/>
      <c r="KT37" s="62"/>
      <c r="KU37" s="62"/>
      <c r="KV37" s="62"/>
      <c r="KW37" s="62"/>
      <c r="KX37" s="62"/>
      <c r="KY37" s="62"/>
      <c r="KZ37" s="62"/>
      <c r="LA37" s="62"/>
      <c r="LB37" s="62"/>
      <c r="LC37" s="62"/>
      <c r="LD37" s="62"/>
      <c r="LE37" s="62"/>
      <c r="LF37" s="62"/>
      <c r="LG37" s="62"/>
      <c r="LH37" s="62"/>
      <c r="LI37" s="62"/>
      <c r="LJ37" s="62"/>
      <c r="LK37" s="62"/>
      <c r="LL37" s="62"/>
      <c r="LM37" s="62"/>
      <c r="LN37" s="62"/>
      <c r="LO37" s="62"/>
      <c r="LP37" s="62"/>
      <c r="LQ37" s="62"/>
      <c r="LR37" s="62"/>
      <c r="LS37" s="62"/>
      <c r="LT37" s="62"/>
      <c r="LU37" s="62"/>
      <c r="LV37" s="62"/>
      <c r="LW37" s="62"/>
      <c r="LX37" s="62"/>
      <c r="LY37" s="62"/>
      <c r="LZ37" s="62"/>
      <c r="MA37" s="62"/>
      <c r="MB37" s="62"/>
      <c r="MC37" s="62"/>
      <c r="MD37" s="62"/>
      <c r="ME37" s="62"/>
      <c r="MF37" s="62"/>
      <c r="MG37" s="62"/>
      <c r="MH37" s="62"/>
      <c r="MI37" s="62"/>
      <c r="MJ37" s="62"/>
      <c r="MK37" s="62"/>
      <c r="ML37" s="62"/>
      <c r="MM37" s="62"/>
      <c r="MN37" s="62"/>
      <c r="MO37" s="62"/>
      <c r="MP37" s="62"/>
      <c r="MQ37" s="62"/>
      <c r="MR37" s="62"/>
      <c r="MS37" s="62"/>
      <c r="MT37" s="62"/>
      <c r="MU37" s="62"/>
      <c r="MV37" s="62"/>
      <c r="MW37" s="62"/>
      <c r="MX37" s="62"/>
      <c r="MY37" s="62"/>
      <c r="MZ37" s="62"/>
      <c r="NA37" s="62"/>
      <c r="NB37" s="62"/>
      <c r="NC37" s="62"/>
      <c r="ND37" s="62"/>
      <c r="NE37" s="62"/>
      <c r="NF37" s="62"/>
      <c r="NG37" s="62"/>
      <c r="NH37" s="62"/>
      <c r="NI37" s="62"/>
      <c r="NJ37" s="62"/>
      <c r="NK37" s="62"/>
      <c r="NL37" s="62"/>
      <c r="NM37" s="62"/>
      <c r="NN37" s="62"/>
      <c r="NO37" s="62"/>
      <c r="NP37" s="62"/>
      <c r="NQ37" s="62"/>
      <c r="NR37" s="62"/>
      <c r="NS37" s="62"/>
      <c r="NT37" s="62"/>
      <c r="NU37" s="62"/>
      <c r="NV37" s="62"/>
      <c r="NW37" s="62"/>
      <c r="NX37" s="62"/>
      <c r="NY37" s="62"/>
      <c r="NZ37" s="62"/>
      <c r="OA37" s="62"/>
      <c r="OB37" s="62"/>
      <c r="OC37" s="62"/>
      <c r="OD37" s="62"/>
      <c r="OE37" s="62"/>
      <c r="OF37" s="62"/>
      <c r="OG37" s="62"/>
      <c r="OH37" s="62"/>
      <c r="OI37" s="62"/>
      <c r="OJ37" s="62"/>
      <c r="OK37" s="62"/>
      <c r="OL37" s="62"/>
      <c r="OM37" s="62"/>
      <c r="ON37" s="62"/>
      <c r="OO37" s="62"/>
      <c r="OP37" s="62"/>
      <c r="OQ37" s="62"/>
      <c r="OR37" s="62"/>
      <c r="OS37" s="62"/>
      <c r="OT37" s="62"/>
      <c r="OU37" s="62"/>
      <c r="OV37" s="62"/>
      <c r="OW37" s="62"/>
      <c r="OX37" s="62"/>
      <c r="OY37" s="62"/>
      <c r="OZ37" s="62"/>
      <c r="PA37" s="62"/>
      <c r="PB37" s="62"/>
      <c r="PC37" s="62"/>
      <c r="PD37" s="62"/>
      <c r="PE37" s="62"/>
      <c r="PF37" s="62"/>
      <c r="PG37" s="62"/>
      <c r="PH37" s="62"/>
      <c r="PI37" s="62"/>
      <c r="PJ37" s="62"/>
      <c r="PK37" s="62"/>
      <c r="PL37" s="62"/>
      <c r="PM37" s="62"/>
      <c r="PN37" s="62"/>
      <c r="PO37" s="62"/>
      <c r="PP37" s="62"/>
      <c r="PQ37" s="62"/>
      <c r="PR37" s="62"/>
      <c r="PS37" s="62"/>
      <c r="PT37" s="62"/>
      <c r="PU37" s="62"/>
      <c r="PV37" s="62"/>
      <c r="PW37" s="62"/>
      <c r="PX37" s="62"/>
      <c r="PY37" s="62"/>
      <c r="PZ37" s="62"/>
      <c r="QA37" s="62"/>
      <c r="QB37" s="62"/>
      <c r="QC37" s="62"/>
      <c r="QD37" s="62"/>
      <c r="QE37" s="62"/>
      <c r="QF37" s="62"/>
      <c r="QG37" s="62"/>
      <c r="QH37" s="62"/>
      <c r="QI37" s="62"/>
      <c r="QJ37" s="62"/>
      <c r="QK37" s="62"/>
      <c r="QL37" s="62"/>
      <c r="QM37" s="62"/>
      <c r="QN37" s="62"/>
      <c r="QO37" s="62"/>
      <c r="QP37" s="62"/>
      <c r="QQ37" s="62"/>
      <c r="QR37" s="62"/>
      <c r="QS37" s="62"/>
      <c r="QT37" s="62"/>
      <c r="QU37" s="62"/>
      <c r="QV37" s="62"/>
      <c r="QW37" s="62"/>
      <c r="QX37" s="62"/>
      <c r="QY37" s="62"/>
      <c r="QZ37" s="62"/>
      <c r="RA37" s="62"/>
      <c r="RB37" s="62"/>
      <c r="RC37" s="62"/>
      <c r="RD37" s="62"/>
      <c r="RE37" s="62"/>
      <c r="RF37" s="62"/>
      <c r="RG37" s="62"/>
      <c r="RH37" s="62"/>
      <c r="RI37" s="62"/>
      <c r="RJ37" s="62"/>
      <c r="RK37" s="62"/>
      <c r="RL37" s="62"/>
      <c r="RM37" s="62"/>
      <c r="RN37" s="62"/>
      <c r="RO37" s="62"/>
      <c r="RP37" s="62"/>
      <c r="RQ37" s="62"/>
      <c r="RR37" s="62"/>
      <c r="RS37" s="62"/>
      <c r="RT37" s="62"/>
      <c r="RU37" s="62"/>
      <c r="RV37" s="62"/>
      <c r="RW37" s="62"/>
      <c r="RX37" s="62"/>
      <c r="RY37" s="62"/>
      <c r="RZ37" s="62"/>
      <c r="SA37" s="62"/>
      <c r="SB37" s="62"/>
      <c r="SC37" s="62"/>
      <c r="SD37" s="62"/>
      <c r="SE37" s="62"/>
      <c r="SF37" s="62"/>
      <c r="SG37" s="62"/>
      <c r="SH37" s="62"/>
      <c r="SI37" s="62"/>
      <c r="SJ37" s="62"/>
      <c r="SK37" s="62"/>
      <c r="SL37" s="62"/>
      <c r="SM37" s="62"/>
      <c r="SN37" s="62"/>
      <c r="SO37" s="62"/>
      <c r="SP37" s="62"/>
      <c r="SQ37" s="62"/>
      <c r="SR37" s="62"/>
      <c r="SS37" s="62"/>
      <c r="ST37" s="62"/>
      <c r="SU37" s="62"/>
      <c r="SV37" s="62"/>
      <c r="SW37" s="62"/>
      <c r="SX37" s="62"/>
      <c r="SY37" s="62"/>
      <c r="SZ37" s="62"/>
      <c r="TA37" s="62"/>
      <c r="TB37" s="62"/>
      <c r="TC37" s="62"/>
      <c r="TD37" s="62"/>
      <c r="TE37" s="62"/>
      <c r="TF37" s="62"/>
      <c r="TG37" s="62"/>
      <c r="TH37" s="62"/>
      <c r="TI37" s="62"/>
      <c r="TJ37" s="62"/>
      <c r="TK37" s="62"/>
      <c r="TL37" s="62"/>
      <c r="TM37" s="62"/>
      <c r="TN37" s="62"/>
      <c r="TO37" s="62"/>
      <c r="TP37" s="62"/>
      <c r="TQ37" s="62"/>
      <c r="TR37" s="62"/>
      <c r="TS37" s="62"/>
      <c r="TT37" s="62"/>
      <c r="TU37" s="62"/>
      <c r="TV37" s="62"/>
      <c r="TW37" s="62"/>
      <c r="TX37" s="62"/>
      <c r="TY37" s="62"/>
      <c r="TZ37" s="62"/>
      <c r="UA37" s="62"/>
      <c r="UB37" s="62"/>
      <c r="UC37" s="62"/>
      <c r="UD37" s="62"/>
      <c r="UE37" s="62"/>
      <c r="UF37" s="62"/>
      <c r="UG37" s="62"/>
      <c r="UH37" s="62"/>
      <c r="UI37" s="62"/>
      <c r="UJ37" s="62"/>
      <c r="UK37" s="62"/>
      <c r="UL37" s="62"/>
      <c r="UM37" s="62"/>
      <c r="UN37" s="62"/>
      <c r="UO37" s="62"/>
      <c r="UP37" s="62"/>
      <c r="UQ37" s="62"/>
      <c r="UR37" s="62"/>
      <c r="US37" s="62"/>
      <c r="UT37" s="62"/>
      <c r="UU37" s="62"/>
      <c r="UV37" s="62"/>
      <c r="UW37" s="62"/>
      <c r="UX37" s="62"/>
      <c r="UY37" s="62"/>
      <c r="UZ37" s="62"/>
      <c r="VA37" s="62"/>
      <c r="VB37" s="62"/>
      <c r="VC37" s="62"/>
      <c r="VD37" s="62"/>
      <c r="VE37" s="62"/>
      <c r="VF37" s="62"/>
      <c r="VG37" s="62"/>
      <c r="VH37" s="62"/>
      <c r="VI37" s="62"/>
      <c r="VJ37" s="62"/>
      <c r="VK37" s="62"/>
      <c r="VL37" s="62"/>
      <c r="VM37" s="62"/>
      <c r="VN37" s="62"/>
      <c r="VO37" s="62"/>
      <c r="VP37" s="62"/>
      <c r="VQ37" s="62"/>
      <c r="VR37" s="62"/>
      <c r="VS37" s="62"/>
      <c r="VT37" s="62"/>
      <c r="VU37" s="62"/>
      <c r="VV37" s="62"/>
      <c r="VW37" s="62"/>
      <c r="VX37" s="62"/>
      <c r="VY37" s="62"/>
      <c r="VZ37" s="62"/>
      <c r="WA37" s="62"/>
      <c r="WB37" s="62"/>
      <c r="WC37" s="62"/>
      <c r="WD37" s="62"/>
      <c r="WE37" s="62"/>
      <c r="WF37" s="62"/>
      <c r="WG37" s="62"/>
      <c r="WH37" s="62"/>
      <c r="WI37" s="62"/>
      <c r="WJ37" s="62"/>
      <c r="WK37" s="62"/>
      <c r="WL37" s="62"/>
      <c r="WM37" s="62"/>
      <c r="WN37" s="62"/>
      <c r="WO37" s="62"/>
      <c r="WP37" s="62"/>
      <c r="WQ37" s="62"/>
      <c r="WR37" s="62"/>
      <c r="WS37" s="62"/>
      <c r="WT37" s="62"/>
      <c r="WU37" s="62"/>
      <c r="WV37" s="62"/>
      <c r="WW37" s="62"/>
      <c r="WX37" s="62"/>
      <c r="WY37" s="62"/>
      <c r="WZ37" s="62"/>
      <c r="XA37" s="62"/>
      <c r="XB37" s="62"/>
      <c r="XC37" s="62"/>
      <c r="XD37" s="62"/>
      <c r="XE37" s="62"/>
      <c r="XF37" s="62"/>
      <c r="XG37" s="62"/>
      <c r="XH37" s="62"/>
      <c r="XI37" s="62"/>
      <c r="XJ37" s="62"/>
      <c r="XK37" s="62"/>
      <c r="XL37" s="62"/>
      <c r="XM37" s="62"/>
      <c r="XN37" s="62"/>
      <c r="XO37" s="62"/>
      <c r="XP37" s="62"/>
      <c r="XQ37" s="62"/>
      <c r="XR37" s="62"/>
      <c r="XS37" s="62"/>
      <c r="XT37" s="62"/>
      <c r="XU37" s="62"/>
      <c r="XV37" s="62"/>
      <c r="XW37" s="62"/>
      <c r="XX37" s="62"/>
      <c r="XY37" s="62"/>
      <c r="XZ37" s="62"/>
      <c r="YA37" s="62"/>
      <c r="YB37" s="62"/>
      <c r="YC37" s="62"/>
      <c r="YD37" s="62"/>
      <c r="YE37" s="62"/>
      <c r="YF37" s="62"/>
      <c r="YG37" s="62"/>
      <c r="YH37" s="62"/>
      <c r="YI37" s="62"/>
      <c r="YJ37" s="62"/>
      <c r="YK37" s="62"/>
      <c r="YL37" s="62"/>
      <c r="YM37" s="62"/>
      <c r="YN37" s="62"/>
      <c r="YO37" s="62"/>
      <c r="YP37" s="62"/>
      <c r="YQ37" s="62"/>
      <c r="YR37" s="62"/>
      <c r="YS37" s="62"/>
      <c r="YT37" s="62"/>
      <c r="YU37" s="62"/>
      <c r="YV37" s="62"/>
      <c r="YW37" s="62"/>
      <c r="YX37" s="62"/>
      <c r="YY37" s="62"/>
      <c r="YZ37" s="62"/>
      <c r="ZA37" s="62"/>
      <c r="ZB37" s="62"/>
      <c r="ZC37" s="62"/>
      <c r="ZD37" s="62"/>
      <c r="ZE37" s="62"/>
      <c r="ZF37" s="62"/>
      <c r="ZG37" s="62"/>
      <c r="ZH37" s="62"/>
      <c r="ZI37" s="62"/>
      <c r="ZJ37" s="62"/>
      <c r="ZK37" s="62"/>
      <c r="ZL37" s="62"/>
      <c r="ZM37" s="62"/>
      <c r="ZN37" s="62"/>
      <c r="ZO37" s="62"/>
      <c r="ZP37" s="62"/>
      <c r="ZQ37" s="62"/>
      <c r="ZR37" s="62"/>
      <c r="ZS37" s="62"/>
      <c r="ZT37" s="62"/>
      <c r="ZU37" s="62"/>
      <c r="ZV37" s="62"/>
      <c r="ZW37" s="62"/>
      <c r="ZX37" s="62"/>
      <c r="ZY37" s="62"/>
      <c r="ZZ37" s="62"/>
      <c r="AAA37" s="62"/>
      <c r="AAB37" s="62"/>
      <c r="AAC37" s="62"/>
      <c r="AAD37" s="62"/>
      <c r="AAE37" s="62"/>
      <c r="AAF37" s="62"/>
      <c r="AAG37" s="62"/>
      <c r="AAH37" s="62"/>
      <c r="AAI37" s="62"/>
      <c r="AAJ37" s="62"/>
      <c r="AAK37" s="62"/>
      <c r="AAL37" s="62"/>
      <c r="AAM37" s="62"/>
      <c r="AAN37" s="62"/>
      <c r="AAO37" s="62"/>
      <c r="AAP37" s="62"/>
      <c r="AAQ37" s="62"/>
      <c r="AAR37" s="62"/>
      <c r="AAS37" s="62"/>
      <c r="AAT37" s="62"/>
      <c r="AAU37" s="62"/>
      <c r="AAV37" s="62"/>
      <c r="AAW37" s="62"/>
      <c r="AAX37" s="62"/>
      <c r="AAY37" s="62"/>
      <c r="AAZ37" s="62"/>
      <c r="ABA37" s="62"/>
      <c r="ABB37" s="62"/>
      <c r="ABC37" s="62"/>
      <c r="ABD37" s="62"/>
      <c r="ABE37" s="62"/>
      <c r="ABF37" s="62"/>
      <c r="ABG37" s="62"/>
      <c r="ABH37" s="62"/>
      <c r="ABI37" s="62"/>
      <c r="ABJ37" s="62"/>
      <c r="ABK37" s="62"/>
      <c r="ABL37" s="62"/>
      <c r="ABM37" s="62"/>
      <c r="ABN37" s="62"/>
      <c r="ABO37" s="62"/>
      <c r="ABP37" s="62"/>
      <c r="ABQ37" s="62"/>
      <c r="ABR37" s="62"/>
      <c r="ABS37" s="62"/>
      <c r="ABT37" s="62"/>
      <c r="ABU37" s="62"/>
      <c r="ABV37" s="62"/>
      <c r="ABW37" s="62"/>
      <c r="ABX37" s="62"/>
      <c r="ABY37" s="62"/>
      <c r="ABZ37" s="62"/>
      <c r="ACA37" s="62"/>
      <c r="ACB37" s="62"/>
      <c r="ACC37" s="62"/>
      <c r="ACD37" s="62"/>
      <c r="ACE37" s="62"/>
      <c r="ACF37" s="62"/>
      <c r="ACG37" s="62"/>
      <c r="ACH37" s="62"/>
      <c r="ACI37" s="62"/>
      <c r="ACJ37" s="62"/>
      <c r="ACK37" s="62"/>
      <c r="ACL37" s="62"/>
      <c r="ACM37" s="62"/>
      <c r="ACN37" s="62"/>
      <c r="ACO37" s="62"/>
      <c r="ACP37" s="62"/>
      <c r="ACQ37" s="62"/>
      <c r="ACR37" s="62"/>
      <c r="ACS37" s="62"/>
      <c r="ACT37" s="62"/>
      <c r="ACU37" s="62"/>
      <c r="ACV37" s="62"/>
      <c r="ACW37" s="62"/>
      <c r="ACX37" s="62"/>
      <c r="ACY37" s="62"/>
      <c r="ACZ37" s="62"/>
      <c r="ADA37" s="62"/>
      <c r="ADB37" s="62"/>
      <c r="ADC37" s="62"/>
      <c r="ADD37" s="62"/>
      <c r="ADE37" s="62"/>
      <c r="ADF37" s="62"/>
      <c r="ADG37" s="62"/>
      <c r="ADH37" s="62"/>
      <c r="ADI37" s="62"/>
      <c r="ADJ37" s="62"/>
      <c r="ADK37" s="62"/>
      <c r="ADL37" s="62"/>
      <c r="ADM37" s="62"/>
      <c r="ADN37" s="62"/>
      <c r="ADO37" s="62"/>
      <c r="ADP37" s="62"/>
      <c r="ADQ37" s="62"/>
      <c r="ADR37" s="62"/>
      <c r="ADS37" s="62"/>
      <c r="ADT37" s="62"/>
      <c r="ADU37" s="62"/>
      <c r="ADV37" s="62"/>
      <c r="ADW37" s="62"/>
      <c r="ADX37" s="62"/>
      <c r="ADY37" s="62"/>
      <c r="ADZ37" s="62"/>
      <c r="AEA37" s="62"/>
      <c r="AEB37" s="62"/>
      <c r="AEC37" s="62"/>
      <c r="AED37" s="62"/>
      <c r="AEE37" s="62"/>
      <c r="AEF37" s="62"/>
      <c r="AEG37" s="62"/>
      <c r="AEH37" s="62"/>
      <c r="AEI37" s="62"/>
      <c r="AEJ37" s="62"/>
      <c r="AEK37" s="62"/>
      <c r="AEL37" s="62"/>
      <c r="AEM37" s="62"/>
      <c r="AEN37" s="62"/>
      <c r="AEO37" s="62"/>
      <c r="AEP37" s="62"/>
      <c r="AEQ37" s="62"/>
      <c r="AER37" s="62"/>
      <c r="AES37" s="62"/>
      <c r="AET37" s="62"/>
      <c r="AEU37" s="62"/>
      <c r="AEV37" s="62"/>
      <c r="AEW37" s="62"/>
      <c r="AEX37" s="62"/>
      <c r="AEY37" s="62"/>
      <c r="AEZ37" s="62"/>
      <c r="AFA37" s="62"/>
      <c r="AFB37" s="62"/>
      <c r="AFC37" s="62"/>
      <c r="AFD37" s="62"/>
      <c r="AFE37" s="62"/>
      <c r="AFF37" s="62"/>
      <c r="AFG37" s="62"/>
      <c r="AFH37" s="62"/>
      <c r="AFI37" s="62"/>
      <c r="AFJ37" s="62"/>
      <c r="AFK37" s="62"/>
      <c r="AFL37" s="62"/>
      <c r="AFM37" s="62"/>
      <c r="AFN37" s="62"/>
      <c r="AFO37" s="62"/>
      <c r="AFP37" s="62"/>
      <c r="AFQ37" s="62"/>
      <c r="AFR37" s="62"/>
      <c r="AFS37" s="62"/>
      <c r="AFT37" s="62"/>
      <c r="AFU37" s="62"/>
      <c r="AFV37" s="62"/>
      <c r="AFW37" s="62"/>
      <c r="AFX37" s="62"/>
      <c r="AFY37" s="62"/>
      <c r="AFZ37" s="62"/>
      <c r="AGA37" s="62"/>
      <c r="AGB37" s="62"/>
      <c r="AGC37" s="62"/>
      <c r="AGD37" s="62"/>
      <c r="AGE37" s="62"/>
      <c r="AGF37" s="62"/>
      <c r="AGG37" s="62"/>
      <c r="AGH37" s="62"/>
      <c r="AGI37" s="62"/>
      <c r="AGJ37" s="62"/>
      <c r="AGK37" s="62"/>
      <c r="AGL37" s="62"/>
      <c r="AGM37" s="62"/>
      <c r="AGN37" s="62"/>
      <c r="AGO37" s="62"/>
      <c r="AGP37" s="62"/>
      <c r="AGQ37" s="62"/>
      <c r="AGR37" s="62"/>
      <c r="AGS37" s="62"/>
      <c r="AGT37" s="62"/>
      <c r="AGU37" s="62"/>
      <c r="AGV37" s="62"/>
      <c r="AGW37" s="62"/>
      <c r="AGX37" s="62"/>
      <c r="AGY37" s="62"/>
      <c r="AGZ37" s="62"/>
      <c r="AHA37" s="62"/>
      <c r="AHB37" s="62"/>
      <c r="AHC37" s="62"/>
      <c r="AHD37" s="62"/>
      <c r="AHE37" s="62"/>
      <c r="AHF37" s="62"/>
      <c r="AHG37" s="62"/>
      <c r="AHH37" s="62"/>
      <c r="AHI37" s="62"/>
      <c r="AHJ37" s="62"/>
      <c r="AHK37" s="62"/>
      <c r="AHL37" s="62"/>
      <c r="AHM37" s="62"/>
      <c r="AHN37" s="62"/>
      <c r="AHO37" s="62"/>
      <c r="AHP37" s="62"/>
      <c r="AHQ37" s="62"/>
      <c r="AHR37" s="62"/>
      <c r="AHS37" s="62"/>
      <c r="AHT37" s="62"/>
      <c r="AHU37" s="62"/>
      <c r="AHV37" s="62"/>
      <c r="AHW37" s="62"/>
      <c r="AHX37" s="62"/>
      <c r="AHY37" s="62"/>
      <c r="AHZ37" s="62"/>
      <c r="AIA37" s="62"/>
      <c r="AIB37" s="62"/>
      <c r="AIC37" s="62"/>
      <c r="AID37" s="62"/>
      <c r="AIE37" s="62"/>
      <c r="AIF37" s="62"/>
      <c r="AIG37" s="62"/>
      <c r="AIH37" s="62"/>
      <c r="AII37" s="62"/>
      <c r="AIJ37" s="62"/>
      <c r="AIK37" s="62"/>
      <c r="AIL37" s="62"/>
      <c r="AIM37" s="62"/>
      <c r="AIN37" s="62"/>
      <c r="AIO37" s="62"/>
      <c r="AIP37" s="62"/>
      <c r="AIQ37" s="62"/>
      <c r="AIR37" s="62"/>
      <c r="AIS37" s="62"/>
      <c r="AIT37" s="62"/>
      <c r="AIU37" s="62"/>
      <c r="AIV37" s="62"/>
      <c r="AIW37" s="62"/>
      <c r="AIX37" s="62"/>
      <c r="AIY37" s="62"/>
      <c r="AIZ37" s="62"/>
      <c r="AJA37" s="62"/>
      <c r="AJB37" s="62"/>
      <c r="AJC37" s="62"/>
      <c r="AJD37" s="62"/>
      <c r="AJE37" s="62"/>
      <c r="AJF37" s="62"/>
      <c r="AJG37" s="62"/>
      <c r="AJH37" s="62"/>
      <c r="AJI37" s="62"/>
      <c r="AJJ37" s="62"/>
      <c r="AJK37" s="62"/>
      <c r="AJL37" s="62"/>
      <c r="AJM37" s="62"/>
      <c r="AJN37" s="62"/>
      <c r="AJO37" s="62"/>
      <c r="AJP37" s="62"/>
      <c r="AJQ37" s="62"/>
      <c r="AJR37" s="62"/>
      <c r="AJS37" s="62"/>
      <c r="AJT37" s="62"/>
      <c r="AJU37" s="62"/>
      <c r="AJV37" s="62"/>
      <c r="AJW37" s="62"/>
      <c r="AJX37" s="62"/>
      <c r="AJY37" s="62"/>
      <c r="AJZ37" s="62"/>
      <c r="AKA37" s="62"/>
      <c r="AKB37" s="62"/>
      <c r="AKC37" s="62"/>
      <c r="AKD37" s="62"/>
      <c r="AKE37" s="62"/>
      <c r="AKF37" s="62"/>
      <c r="AKG37" s="62"/>
      <c r="AKH37" s="62"/>
      <c r="AKI37" s="62"/>
      <c r="AKJ37" s="62"/>
      <c r="AKK37" s="62"/>
      <c r="AKL37" s="62"/>
      <c r="AKM37" s="62"/>
      <c r="AKN37" s="62"/>
      <c r="AKO37" s="62"/>
      <c r="AKP37" s="62"/>
      <c r="AKQ37" s="62"/>
      <c r="AKR37" s="62"/>
      <c r="AKS37" s="62"/>
      <c r="AKT37" s="62"/>
      <c r="AKU37" s="62"/>
      <c r="AKV37" s="62"/>
      <c r="AKW37" s="62"/>
      <c r="AKX37" s="62"/>
      <c r="AKY37" s="62"/>
      <c r="AKZ37" s="62"/>
      <c r="ALA37" s="62"/>
      <c r="ALB37" s="62"/>
      <c r="ALC37" s="62"/>
      <c r="ALD37" s="62"/>
      <c r="ALE37" s="62"/>
      <c r="ALF37" s="62"/>
      <c r="ALG37" s="62"/>
      <c r="ALH37" s="62"/>
      <c r="ALI37" s="62"/>
      <c r="ALJ37" s="62"/>
      <c r="ALK37" s="62"/>
      <c r="ALL37" s="62"/>
      <c r="ALM37" s="62"/>
      <c r="ALN37" s="62"/>
      <c r="ALO37" s="62"/>
      <c r="ALP37" s="62"/>
      <c r="ALQ37" s="62"/>
      <c r="ALR37" s="62"/>
      <c r="ALS37" s="62"/>
      <c r="ALT37" s="62"/>
      <c r="ALU37" s="62"/>
      <c r="ALV37" s="62"/>
      <c r="ALW37" s="62"/>
      <c r="ALX37" s="62"/>
      <c r="ALY37" s="62"/>
      <c r="ALZ37" s="62"/>
      <c r="AMA37" s="62"/>
      <c r="AMB37" s="62"/>
      <c r="AMC37" s="62"/>
      <c r="AMD37" s="62"/>
      <c r="AME37" s="62"/>
      <c r="AMF37" s="62"/>
      <c r="AMG37" s="62"/>
      <c r="AMH37" s="62"/>
      <c r="AMI37" s="62"/>
      <c r="AMJ37" s="62"/>
    </row>
    <row r="38" spans="1:1024" s="83" customFormat="1" ht="15">
      <c r="A38" s="62"/>
      <c r="B38" s="57"/>
      <c r="C38" s="698" t="s">
        <v>1443</v>
      </c>
      <c r="D38" s="698"/>
      <c r="E38" s="698"/>
      <c r="F38" s="58">
        <f aca="true" t="shared" si="8" ref="F38">G38+H38+I38</f>
        <v>0</v>
      </c>
      <c r="G38" s="58">
        <f>'2.1.M Stavební rozpočet'!H53</f>
        <v>0</v>
      </c>
      <c r="H38" s="59"/>
      <c r="I38" s="60">
        <f aca="true" t="shared" si="9" ref="I38">(G38*SazbaDPH1)/100+(H38*SazbaDPH2)/100</f>
        <v>0</v>
      </c>
      <c r="J38" s="62"/>
      <c r="K38" s="61"/>
      <c r="L38" s="61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  <c r="IR38" s="62"/>
      <c r="IS38" s="62"/>
      <c r="IT38" s="62"/>
      <c r="IU38" s="62"/>
      <c r="IV38" s="62"/>
      <c r="IW38" s="62"/>
      <c r="IX38" s="62"/>
      <c r="IY38" s="62"/>
      <c r="IZ38" s="62"/>
      <c r="JA38" s="62"/>
      <c r="JB38" s="62"/>
      <c r="JC38" s="62"/>
      <c r="JD38" s="62"/>
      <c r="JE38" s="62"/>
      <c r="JF38" s="62"/>
      <c r="JG38" s="62"/>
      <c r="JH38" s="62"/>
      <c r="JI38" s="62"/>
      <c r="JJ38" s="62"/>
      <c r="JK38" s="62"/>
      <c r="JL38" s="62"/>
      <c r="JM38" s="62"/>
      <c r="JN38" s="62"/>
      <c r="JO38" s="62"/>
      <c r="JP38" s="62"/>
      <c r="JQ38" s="62"/>
      <c r="JR38" s="62"/>
      <c r="JS38" s="62"/>
      <c r="JT38" s="62"/>
      <c r="JU38" s="62"/>
      <c r="JV38" s="62"/>
      <c r="JW38" s="62"/>
      <c r="JX38" s="62"/>
      <c r="JY38" s="62"/>
      <c r="JZ38" s="62"/>
      <c r="KA38" s="62"/>
      <c r="KB38" s="62"/>
      <c r="KC38" s="62"/>
      <c r="KD38" s="62"/>
      <c r="KE38" s="62"/>
      <c r="KF38" s="62"/>
      <c r="KG38" s="62"/>
      <c r="KH38" s="62"/>
      <c r="KI38" s="62"/>
      <c r="KJ38" s="62"/>
      <c r="KK38" s="62"/>
      <c r="KL38" s="62"/>
      <c r="KM38" s="62"/>
      <c r="KN38" s="62"/>
      <c r="KO38" s="62"/>
      <c r="KP38" s="62"/>
      <c r="KQ38" s="62"/>
      <c r="KR38" s="62"/>
      <c r="KS38" s="62"/>
      <c r="KT38" s="62"/>
      <c r="KU38" s="62"/>
      <c r="KV38" s="62"/>
      <c r="KW38" s="62"/>
      <c r="KX38" s="62"/>
      <c r="KY38" s="62"/>
      <c r="KZ38" s="62"/>
      <c r="LA38" s="62"/>
      <c r="LB38" s="62"/>
      <c r="LC38" s="62"/>
      <c r="LD38" s="62"/>
      <c r="LE38" s="62"/>
      <c r="LF38" s="62"/>
      <c r="LG38" s="62"/>
      <c r="LH38" s="62"/>
      <c r="LI38" s="62"/>
      <c r="LJ38" s="62"/>
      <c r="LK38" s="62"/>
      <c r="LL38" s="62"/>
      <c r="LM38" s="62"/>
      <c r="LN38" s="62"/>
      <c r="LO38" s="62"/>
      <c r="LP38" s="62"/>
      <c r="LQ38" s="62"/>
      <c r="LR38" s="62"/>
      <c r="LS38" s="62"/>
      <c r="LT38" s="62"/>
      <c r="LU38" s="62"/>
      <c r="LV38" s="62"/>
      <c r="LW38" s="62"/>
      <c r="LX38" s="62"/>
      <c r="LY38" s="62"/>
      <c r="LZ38" s="62"/>
      <c r="MA38" s="62"/>
      <c r="MB38" s="62"/>
      <c r="MC38" s="62"/>
      <c r="MD38" s="62"/>
      <c r="ME38" s="62"/>
      <c r="MF38" s="62"/>
      <c r="MG38" s="62"/>
      <c r="MH38" s="62"/>
      <c r="MI38" s="62"/>
      <c r="MJ38" s="62"/>
      <c r="MK38" s="62"/>
      <c r="ML38" s="62"/>
      <c r="MM38" s="62"/>
      <c r="MN38" s="62"/>
      <c r="MO38" s="62"/>
      <c r="MP38" s="62"/>
      <c r="MQ38" s="62"/>
      <c r="MR38" s="62"/>
      <c r="MS38" s="62"/>
      <c r="MT38" s="62"/>
      <c r="MU38" s="62"/>
      <c r="MV38" s="62"/>
      <c r="MW38" s="62"/>
      <c r="MX38" s="62"/>
      <c r="MY38" s="62"/>
      <c r="MZ38" s="62"/>
      <c r="NA38" s="62"/>
      <c r="NB38" s="62"/>
      <c r="NC38" s="62"/>
      <c r="ND38" s="62"/>
      <c r="NE38" s="62"/>
      <c r="NF38" s="62"/>
      <c r="NG38" s="62"/>
      <c r="NH38" s="62"/>
      <c r="NI38" s="62"/>
      <c r="NJ38" s="62"/>
      <c r="NK38" s="62"/>
      <c r="NL38" s="62"/>
      <c r="NM38" s="62"/>
      <c r="NN38" s="62"/>
      <c r="NO38" s="62"/>
      <c r="NP38" s="62"/>
      <c r="NQ38" s="62"/>
      <c r="NR38" s="62"/>
      <c r="NS38" s="62"/>
      <c r="NT38" s="62"/>
      <c r="NU38" s="62"/>
      <c r="NV38" s="62"/>
      <c r="NW38" s="62"/>
      <c r="NX38" s="62"/>
      <c r="NY38" s="62"/>
      <c r="NZ38" s="62"/>
      <c r="OA38" s="62"/>
      <c r="OB38" s="62"/>
      <c r="OC38" s="62"/>
      <c r="OD38" s="62"/>
      <c r="OE38" s="62"/>
      <c r="OF38" s="62"/>
      <c r="OG38" s="62"/>
      <c r="OH38" s="62"/>
      <c r="OI38" s="62"/>
      <c r="OJ38" s="62"/>
      <c r="OK38" s="62"/>
      <c r="OL38" s="62"/>
      <c r="OM38" s="62"/>
      <c r="ON38" s="62"/>
      <c r="OO38" s="62"/>
      <c r="OP38" s="62"/>
      <c r="OQ38" s="62"/>
      <c r="OR38" s="62"/>
      <c r="OS38" s="62"/>
      <c r="OT38" s="62"/>
      <c r="OU38" s="62"/>
      <c r="OV38" s="62"/>
      <c r="OW38" s="62"/>
      <c r="OX38" s="62"/>
      <c r="OY38" s="62"/>
      <c r="OZ38" s="62"/>
      <c r="PA38" s="62"/>
      <c r="PB38" s="62"/>
      <c r="PC38" s="62"/>
      <c r="PD38" s="62"/>
      <c r="PE38" s="62"/>
      <c r="PF38" s="62"/>
      <c r="PG38" s="62"/>
      <c r="PH38" s="62"/>
      <c r="PI38" s="62"/>
      <c r="PJ38" s="62"/>
      <c r="PK38" s="62"/>
      <c r="PL38" s="62"/>
      <c r="PM38" s="62"/>
      <c r="PN38" s="62"/>
      <c r="PO38" s="62"/>
      <c r="PP38" s="62"/>
      <c r="PQ38" s="62"/>
      <c r="PR38" s="62"/>
      <c r="PS38" s="62"/>
      <c r="PT38" s="62"/>
      <c r="PU38" s="62"/>
      <c r="PV38" s="62"/>
      <c r="PW38" s="62"/>
      <c r="PX38" s="62"/>
      <c r="PY38" s="62"/>
      <c r="PZ38" s="62"/>
      <c r="QA38" s="62"/>
      <c r="QB38" s="62"/>
      <c r="QC38" s="62"/>
      <c r="QD38" s="62"/>
      <c r="QE38" s="62"/>
      <c r="QF38" s="62"/>
      <c r="QG38" s="62"/>
      <c r="QH38" s="62"/>
      <c r="QI38" s="62"/>
      <c r="QJ38" s="62"/>
      <c r="QK38" s="62"/>
      <c r="QL38" s="62"/>
      <c r="QM38" s="62"/>
      <c r="QN38" s="62"/>
      <c r="QO38" s="62"/>
      <c r="QP38" s="62"/>
      <c r="QQ38" s="62"/>
      <c r="QR38" s="62"/>
      <c r="QS38" s="62"/>
      <c r="QT38" s="62"/>
      <c r="QU38" s="62"/>
      <c r="QV38" s="62"/>
      <c r="QW38" s="62"/>
      <c r="QX38" s="62"/>
      <c r="QY38" s="62"/>
      <c r="QZ38" s="62"/>
      <c r="RA38" s="62"/>
      <c r="RB38" s="62"/>
      <c r="RC38" s="62"/>
      <c r="RD38" s="62"/>
      <c r="RE38" s="62"/>
      <c r="RF38" s="62"/>
      <c r="RG38" s="62"/>
      <c r="RH38" s="62"/>
      <c r="RI38" s="62"/>
      <c r="RJ38" s="62"/>
      <c r="RK38" s="62"/>
      <c r="RL38" s="62"/>
      <c r="RM38" s="62"/>
      <c r="RN38" s="62"/>
      <c r="RO38" s="62"/>
      <c r="RP38" s="62"/>
      <c r="RQ38" s="62"/>
      <c r="RR38" s="62"/>
      <c r="RS38" s="62"/>
      <c r="RT38" s="62"/>
      <c r="RU38" s="62"/>
      <c r="RV38" s="62"/>
      <c r="RW38" s="62"/>
      <c r="RX38" s="62"/>
      <c r="RY38" s="62"/>
      <c r="RZ38" s="62"/>
      <c r="SA38" s="62"/>
      <c r="SB38" s="62"/>
      <c r="SC38" s="62"/>
      <c r="SD38" s="62"/>
      <c r="SE38" s="62"/>
      <c r="SF38" s="62"/>
      <c r="SG38" s="62"/>
      <c r="SH38" s="62"/>
      <c r="SI38" s="62"/>
      <c r="SJ38" s="62"/>
      <c r="SK38" s="62"/>
      <c r="SL38" s="62"/>
      <c r="SM38" s="62"/>
      <c r="SN38" s="62"/>
      <c r="SO38" s="62"/>
      <c r="SP38" s="62"/>
      <c r="SQ38" s="62"/>
      <c r="SR38" s="62"/>
      <c r="SS38" s="62"/>
      <c r="ST38" s="62"/>
      <c r="SU38" s="62"/>
      <c r="SV38" s="62"/>
      <c r="SW38" s="62"/>
      <c r="SX38" s="62"/>
      <c r="SY38" s="62"/>
      <c r="SZ38" s="62"/>
      <c r="TA38" s="62"/>
      <c r="TB38" s="62"/>
      <c r="TC38" s="62"/>
      <c r="TD38" s="62"/>
      <c r="TE38" s="62"/>
      <c r="TF38" s="62"/>
      <c r="TG38" s="62"/>
      <c r="TH38" s="62"/>
      <c r="TI38" s="62"/>
      <c r="TJ38" s="62"/>
      <c r="TK38" s="62"/>
      <c r="TL38" s="62"/>
      <c r="TM38" s="62"/>
      <c r="TN38" s="62"/>
      <c r="TO38" s="62"/>
      <c r="TP38" s="62"/>
      <c r="TQ38" s="62"/>
      <c r="TR38" s="62"/>
      <c r="TS38" s="62"/>
      <c r="TT38" s="62"/>
      <c r="TU38" s="62"/>
      <c r="TV38" s="62"/>
      <c r="TW38" s="62"/>
      <c r="TX38" s="62"/>
      <c r="TY38" s="62"/>
      <c r="TZ38" s="62"/>
      <c r="UA38" s="62"/>
      <c r="UB38" s="62"/>
      <c r="UC38" s="62"/>
      <c r="UD38" s="62"/>
      <c r="UE38" s="62"/>
      <c r="UF38" s="62"/>
      <c r="UG38" s="62"/>
      <c r="UH38" s="62"/>
      <c r="UI38" s="62"/>
      <c r="UJ38" s="62"/>
      <c r="UK38" s="62"/>
      <c r="UL38" s="62"/>
      <c r="UM38" s="62"/>
      <c r="UN38" s="62"/>
      <c r="UO38" s="62"/>
      <c r="UP38" s="62"/>
      <c r="UQ38" s="62"/>
      <c r="UR38" s="62"/>
      <c r="US38" s="62"/>
      <c r="UT38" s="62"/>
      <c r="UU38" s="62"/>
      <c r="UV38" s="62"/>
      <c r="UW38" s="62"/>
      <c r="UX38" s="62"/>
      <c r="UY38" s="62"/>
      <c r="UZ38" s="62"/>
      <c r="VA38" s="62"/>
      <c r="VB38" s="62"/>
      <c r="VC38" s="62"/>
      <c r="VD38" s="62"/>
      <c r="VE38" s="62"/>
      <c r="VF38" s="62"/>
      <c r="VG38" s="62"/>
      <c r="VH38" s="62"/>
      <c r="VI38" s="62"/>
      <c r="VJ38" s="62"/>
      <c r="VK38" s="62"/>
      <c r="VL38" s="62"/>
      <c r="VM38" s="62"/>
      <c r="VN38" s="62"/>
      <c r="VO38" s="62"/>
      <c r="VP38" s="62"/>
      <c r="VQ38" s="62"/>
      <c r="VR38" s="62"/>
      <c r="VS38" s="62"/>
      <c r="VT38" s="62"/>
      <c r="VU38" s="62"/>
      <c r="VV38" s="62"/>
      <c r="VW38" s="62"/>
      <c r="VX38" s="62"/>
      <c r="VY38" s="62"/>
      <c r="VZ38" s="62"/>
      <c r="WA38" s="62"/>
      <c r="WB38" s="62"/>
      <c r="WC38" s="62"/>
      <c r="WD38" s="62"/>
      <c r="WE38" s="62"/>
      <c r="WF38" s="62"/>
      <c r="WG38" s="62"/>
      <c r="WH38" s="62"/>
      <c r="WI38" s="62"/>
      <c r="WJ38" s="62"/>
      <c r="WK38" s="62"/>
      <c r="WL38" s="62"/>
      <c r="WM38" s="62"/>
      <c r="WN38" s="62"/>
      <c r="WO38" s="62"/>
      <c r="WP38" s="62"/>
      <c r="WQ38" s="62"/>
      <c r="WR38" s="62"/>
      <c r="WS38" s="62"/>
      <c r="WT38" s="62"/>
      <c r="WU38" s="62"/>
      <c r="WV38" s="62"/>
      <c r="WW38" s="62"/>
      <c r="WX38" s="62"/>
      <c r="WY38" s="62"/>
      <c r="WZ38" s="62"/>
      <c r="XA38" s="62"/>
      <c r="XB38" s="62"/>
      <c r="XC38" s="62"/>
      <c r="XD38" s="62"/>
      <c r="XE38" s="62"/>
      <c r="XF38" s="62"/>
      <c r="XG38" s="62"/>
      <c r="XH38" s="62"/>
      <c r="XI38" s="62"/>
      <c r="XJ38" s="62"/>
      <c r="XK38" s="62"/>
      <c r="XL38" s="62"/>
      <c r="XM38" s="62"/>
      <c r="XN38" s="62"/>
      <c r="XO38" s="62"/>
      <c r="XP38" s="62"/>
      <c r="XQ38" s="62"/>
      <c r="XR38" s="62"/>
      <c r="XS38" s="62"/>
      <c r="XT38" s="62"/>
      <c r="XU38" s="62"/>
      <c r="XV38" s="62"/>
      <c r="XW38" s="62"/>
      <c r="XX38" s="62"/>
      <c r="XY38" s="62"/>
      <c r="XZ38" s="62"/>
      <c r="YA38" s="62"/>
      <c r="YB38" s="62"/>
      <c r="YC38" s="62"/>
      <c r="YD38" s="62"/>
      <c r="YE38" s="62"/>
      <c r="YF38" s="62"/>
      <c r="YG38" s="62"/>
      <c r="YH38" s="62"/>
      <c r="YI38" s="62"/>
      <c r="YJ38" s="62"/>
      <c r="YK38" s="62"/>
      <c r="YL38" s="62"/>
      <c r="YM38" s="62"/>
      <c r="YN38" s="62"/>
      <c r="YO38" s="62"/>
      <c r="YP38" s="62"/>
      <c r="YQ38" s="62"/>
      <c r="YR38" s="62"/>
      <c r="YS38" s="62"/>
      <c r="YT38" s="62"/>
      <c r="YU38" s="62"/>
      <c r="YV38" s="62"/>
      <c r="YW38" s="62"/>
      <c r="YX38" s="62"/>
      <c r="YY38" s="62"/>
      <c r="YZ38" s="62"/>
      <c r="ZA38" s="62"/>
      <c r="ZB38" s="62"/>
      <c r="ZC38" s="62"/>
      <c r="ZD38" s="62"/>
      <c r="ZE38" s="62"/>
      <c r="ZF38" s="62"/>
      <c r="ZG38" s="62"/>
      <c r="ZH38" s="62"/>
      <c r="ZI38" s="62"/>
      <c r="ZJ38" s="62"/>
      <c r="ZK38" s="62"/>
      <c r="ZL38" s="62"/>
      <c r="ZM38" s="62"/>
      <c r="ZN38" s="62"/>
      <c r="ZO38" s="62"/>
      <c r="ZP38" s="62"/>
      <c r="ZQ38" s="62"/>
      <c r="ZR38" s="62"/>
      <c r="ZS38" s="62"/>
      <c r="ZT38" s="62"/>
      <c r="ZU38" s="62"/>
      <c r="ZV38" s="62"/>
      <c r="ZW38" s="62"/>
      <c r="ZX38" s="62"/>
      <c r="ZY38" s="62"/>
      <c r="ZZ38" s="62"/>
      <c r="AAA38" s="62"/>
      <c r="AAB38" s="62"/>
      <c r="AAC38" s="62"/>
      <c r="AAD38" s="62"/>
      <c r="AAE38" s="62"/>
      <c r="AAF38" s="62"/>
      <c r="AAG38" s="62"/>
      <c r="AAH38" s="62"/>
      <c r="AAI38" s="62"/>
      <c r="AAJ38" s="62"/>
      <c r="AAK38" s="62"/>
      <c r="AAL38" s="62"/>
      <c r="AAM38" s="62"/>
      <c r="AAN38" s="62"/>
      <c r="AAO38" s="62"/>
      <c r="AAP38" s="62"/>
      <c r="AAQ38" s="62"/>
      <c r="AAR38" s="62"/>
      <c r="AAS38" s="62"/>
      <c r="AAT38" s="62"/>
      <c r="AAU38" s="62"/>
      <c r="AAV38" s="62"/>
      <c r="AAW38" s="62"/>
      <c r="AAX38" s="62"/>
      <c r="AAY38" s="62"/>
      <c r="AAZ38" s="62"/>
      <c r="ABA38" s="62"/>
      <c r="ABB38" s="62"/>
      <c r="ABC38" s="62"/>
      <c r="ABD38" s="62"/>
      <c r="ABE38" s="62"/>
      <c r="ABF38" s="62"/>
      <c r="ABG38" s="62"/>
      <c r="ABH38" s="62"/>
      <c r="ABI38" s="62"/>
      <c r="ABJ38" s="62"/>
      <c r="ABK38" s="62"/>
      <c r="ABL38" s="62"/>
      <c r="ABM38" s="62"/>
      <c r="ABN38" s="62"/>
      <c r="ABO38" s="62"/>
      <c r="ABP38" s="62"/>
      <c r="ABQ38" s="62"/>
      <c r="ABR38" s="62"/>
      <c r="ABS38" s="62"/>
      <c r="ABT38" s="62"/>
      <c r="ABU38" s="62"/>
      <c r="ABV38" s="62"/>
      <c r="ABW38" s="62"/>
      <c r="ABX38" s="62"/>
      <c r="ABY38" s="62"/>
      <c r="ABZ38" s="62"/>
      <c r="ACA38" s="62"/>
      <c r="ACB38" s="62"/>
      <c r="ACC38" s="62"/>
      <c r="ACD38" s="62"/>
      <c r="ACE38" s="62"/>
      <c r="ACF38" s="62"/>
      <c r="ACG38" s="62"/>
      <c r="ACH38" s="62"/>
      <c r="ACI38" s="62"/>
      <c r="ACJ38" s="62"/>
      <c r="ACK38" s="62"/>
      <c r="ACL38" s="62"/>
      <c r="ACM38" s="62"/>
      <c r="ACN38" s="62"/>
      <c r="ACO38" s="62"/>
      <c r="ACP38" s="62"/>
      <c r="ACQ38" s="62"/>
      <c r="ACR38" s="62"/>
      <c r="ACS38" s="62"/>
      <c r="ACT38" s="62"/>
      <c r="ACU38" s="62"/>
      <c r="ACV38" s="62"/>
      <c r="ACW38" s="62"/>
      <c r="ACX38" s="62"/>
      <c r="ACY38" s="62"/>
      <c r="ACZ38" s="62"/>
      <c r="ADA38" s="62"/>
      <c r="ADB38" s="62"/>
      <c r="ADC38" s="62"/>
      <c r="ADD38" s="62"/>
      <c r="ADE38" s="62"/>
      <c r="ADF38" s="62"/>
      <c r="ADG38" s="62"/>
      <c r="ADH38" s="62"/>
      <c r="ADI38" s="62"/>
      <c r="ADJ38" s="62"/>
      <c r="ADK38" s="62"/>
      <c r="ADL38" s="62"/>
      <c r="ADM38" s="62"/>
      <c r="ADN38" s="62"/>
      <c r="ADO38" s="62"/>
      <c r="ADP38" s="62"/>
      <c r="ADQ38" s="62"/>
      <c r="ADR38" s="62"/>
      <c r="ADS38" s="62"/>
      <c r="ADT38" s="62"/>
      <c r="ADU38" s="62"/>
      <c r="ADV38" s="62"/>
      <c r="ADW38" s="62"/>
      <c r="ADX38" s="62"/>
      <c r="ADY38" s="62"/>
      <c r="ADZ38" s="62"/>
      <c r="AEA38" s="62"/>
      <c r="AEB38" s="62"/>
      <c r="AEC38" s="62"/>
      <c r="AED38" s="62"/>
      <c r="AEE38" s="62"/>
      <c r="AEF38" s="62"/>
      <c r="AEG38" s="62"/>
      <c r="AEH38" s="62"/>
      <c r="AEI38" s="62"/>
      <c r="AEJ38" s="62"/>
      <c r="AEK38" s="62"/>
      <c r="AEL38" s="62"/>
      <c r="AEM38" s="62"/>
      <c r="AEN38" s="62"/>
      <c r="AEO38" s="62"/>
      <c r="AEP38" s="62"/>
      <c r="AEQ38" s="62"/>
      <c r="AER38" s="62"/>
      <c r="AES38" s="62"/>
      <c r="AET38" s="62"/>
      <c r="AEU38" s="62"/>
      <c r="AEV38" s="62"/>
      <c r="AEW38" s="62"/>
      <c r="AEX38" s="62"/>
      <c r="AEY38" s="62"/>
      <c r="AEZ38" s="62"/>
      <c r="AFA38" s="62"/>
      <c r="AFB38" s="62"/>
      <c r="AFC38" s="62"/>
      <c r="AFD38" s="62"/>
      <c r="AFE38" s="62"/>
      <c r="AFF38" s="62"/>
      <c r="AFG38" s="62"/>
      <c r="AFH38" s="62"/>
      <c r="AFI38" s="62"/>
      <c r="AFJ38" s="62"/>
      <c r="AFK38" s="62"/>
      <c r="AFL38" s="62"/>
      <c r="AFM38" s="62"/>
      <c r="AFN38" s="62"/>
      <c r="AFO38" s="62"/>
      <c r="AFP38" s="62"/>
      <c r="AFQ38" s="62"/>
      <c r="AFR38" s="62"/>
      <c r="AFS38" s="62"/>
      <c r="AFT38" s="62"/>
      <c r="AFU38" s="62"/>
      <c r="AFV38" s="62"/>
      <c r="AFW38" s="62"/>
      <c r="AFX38" s="62"/>
      <c r="AFY38" s="62"/>
      <c r="AFZ38" s="62"/>
      <c r="AGA38" s="62"/>
      <c r="AGB38" s="62"/>
      <c r="AGC38" s="62"/>
      <c r="AGD38" s="62"/>
      <c r="AGE38" s="62"/>
      <c r="AGF38" s="62"/>
      <c r="AGG38" s="62"/>
      <c r="AGH38" s="62"/>
      <c r="AGI38" s="62"/>
      <c r="AGJ38" s="62"/>
      <c r="AGK38" s="62"/>
      <c r="AGL38" s="62"/>
      <c r="AGM38" s="62"/>
      <c r="AGN38" s="62"/>
      <c r="AGO38" s="62"/>
      <c r="AGP38" s="62"/>
      <c r="AGQ38" s="62"/>
      <c r="AGR38" s="62"/>
      <c r="AGS38" s="62"/>
      <c r="AGT38" s="62"/>
      <c r="AGU38" s="62"/>
      <c r="AGV38" s="62"/>
      <c r="AGW38" s="62"/>
      <c r="AGX38" s="62"/>
      <c r="AGY38" s="62"/>
      <c r="AGZ38" s="62"/>
      <c r="AHA38" s="62"/>
      <c r="AHB38" s="62"/>
      <c r="AHC38" s="62"/>
      <c r="AHD38" s="62"/>
      <c r="AHE38" s="62"/>
      <c r="AHF38" s="62"/>
      <c r="AHG38" s="62"/>
      <c r="AHH38" s="62"/>
      <c r="AHI38" s="62"/>
      <c r="AHJ38" s="62"/>
      <c r="AHK38" s="62"/>
      <c r="AHL38" s="62"/>
      <c r="AHM38" s="62"/>
      <c r="AHN38" s="62"/>
      <c r="AHO38" s="62"/>
      <c r="AHP38" s="62"/>
      <c r="AHQ38" s="62"/>
      <c r="AHR38" s="62"/>
      <c r="AHS38" s="62"/>
      <c r="AHT38" s="62"/>
      <c r="AHU38" s="62"/>
      <c r="AHV38" s="62"/>
      <c r="AHW38" s="62"/>
      <c r="AHX38" s="62"/>
      <c r="AHY38" s="62"/>
      <c r="AHZ38" s="62"/>
      <c r="AIA38" s="62"/>
      <c r="AIB38" s="62"/>
      <c r="AIC38" s="62"/>
      <c r="AID38" s="62"/>
      <c r="AIE38" s="62"/>
      <c r="AIF38" s="62"/>
      <c r="AIG38" s="62"/>
      <c r="AIH38" s="62"/>
      <c r="AII38" s="62"/>
      <c r="AIJ38" s="62"/>
      <c r="AIK38" s="62"/>
      <c r="AIL38" s="62"/>
      <c r="AIM38" s="62"/>
      <c r="AIN38" s="62"/>
      <c r="AIO38" s="62"/>
      <c r="AIP38" s="62"/>
      <c r="AIQ38" s="62"/>
      <c r="AIR38" s="62"/>
      <c r="AIS38" s="62"/>
      <c r="AIT38" s="62"/>
      <c r="AIU38" s="62"/>
      <c r="AIV38" s="62"/>
      <c r="AIW38" s="62"/>
      <c r="AIX38" s="62"/>
      <c r="AIY38" s="62"/>
      <c r="AIZ38" s="62"/>
      <c r="AJA38" s="62"/>
      <c r="AJB38" s="62"/>
      <c r="AJC38" s="62"/>
      <c r="AJD38" s="62"/>
      <c r="AJE38" s="62"/>
      <c r="AJF38" s="62"/>
      <c r="AJG38" s="62"/>
      <c r="AJH38" s="62"/>
      <c r="AJI38" s="62"/>
      <c r="AJJ38" s="62"/>
      <c r="AJK38" s="62"/>
      <c r="AJL38" s="62"/>
      <c r="AJM38" s="62"/>
      <c r="AJN38" s="62"/>
      <c r="AJO38" s="62"/>
      <c r="AJP38" s="62"/>
      <c r="AJQ38" s="62"/>
      <c r="AJR38" s="62"/>
      <c r="AJS38" s="62"/>
      <c r="AJT38" s="62"/>
      <c r="AJU38" s="62"/>
      <c r="AJV38" s="62"/>
      <c r="AJW38" s="62"/>
      <c r="AJX38" s="62"/>
      <c r="AJY38" s="62"/>
      <c r="AJZ38" s="62"/>
      <c r="AKA38" s="62"/>
      <c r="AKB38" s="62"/>
      <c r="AKC38" s="62"/>
      <c r="AKD38" s="62"/>
      <c r="AKE38" s="62"/>
      <c r="AKF38" s="62"/>
      <c r="AKG38" s="62"/>
      <c r="AKH38" s="62"/>
      <c r="AKI38" s="62"/>
      <c r="AKJ38" s="62"/>
      <c r="AKK38" s="62"/>
      <c r="AKL38" s="62"/>
      <c r="AKM38" s="62"/>
      <c r="AKN38" s="62"/>
      <c r="AKO38" s="62"/>
      <c r="AKP38" s="62"/>
      <c r="AKQ38" s="62"/>
      <c r="AKR38" s="62"/>
      <c r="AKS38" s="62"/>
      <c r="AKT38" s="62"/>
      <c r="AKU38" s="62"/>
      <c r="AKV38" s="62"/>
      <c r="AKW38" s="62"/>
      <c r="AKX38" s="62"/>
      <c r="AKY38" s="62"/>
      <c r="AKZ38" s="62"/>
      <c r="ALA38" s="62"/>
      <c r="ALB38" s="62"/>
      <c r="ALC38" s="62"/>
      <c r="ALD38" s="62"/>
      <c r="ALE38" s="62"/>
      <c r="ALF38" s="62"/>
      <c r="ALG38" s="62"/>
      <c r="ALH38" s="62"/>
      <c r="ALI38" s="62"/>
      <c r="ALJ38" s="62"/>
      <c r="ALK38" s="62"/>
      <c r="ALL38" s="62"/>
      <c r="ALM38" s="62"/>
      <c r="ALN38" s="62"/>
      <c r="ALO38" s="62"/>
      <c r="ALP38" s="62"/>
      <c r="ALQ38" s="62"/>
      <c r="ALR38" s="62"/>
      <c r="ALS38" s="62"/>
      <c r="ALT38" s="62"/>
      <c r="ALU38" s="62"/>
      <c r="ALV38" s="62"/>
      <c r="ALW38" s="62"/>
      <c r="ALX38" s="62"/>
      <c r="ALY38" s="62"/>
      <c r="ALZ38" s="62"/>
      <c r="AMA38" s="62"/>
      <c r="AMB38" s="62"/>
      <c r="AMC38" s="62"/>
      <c r="AMD38" s="62"/>
      <c r="AME38" s="62"/>
      <c r="AMF38" s="62"/>
      <c r="AMG38" s="62"/>
      <c r="AMH38" s="62"/>
      <c r="AMI38" s="62"/>
      <c r="AMJ38" s="62"/>
    </row>
    <row r="39" spans="1:1024" s="83" customFormat="1" ht="15">
      <c r="A39" s="62"/>
      <c r="B39" s="57"/>
      <c r="C39" s="698" t="s">
        <v>1444</v>
      </c>
      <c r="D39" s="698"/>
      <c r="E39" s="698"/>
      <c r="F39" s="58">
        <f t="shared" si="0"/>
        <v>0</v>
      </c>
      <c r="G39" s="58">
        <f>'2.2.H Zdravotechnika'!J7</f>
        <v>0</v>
      </c>
      <c r="H39" s="59"/>
      <c r="I39" s="60">
        <f t="shared" si="1"/>
        <v>0</v>
      </c>
      <c r="J39" s="62"/>
      <c r="K39" s="61"/>
      <c r="L39" s="61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  <c r="IR39" s="62"/>
      <c r="IS39" s="62"/>
      <c r="IT39" s="62"/>
      <c r="IU39" s="62"/>
      <c r="IV39" s="62"/>
      <c r="IW39" s="62"/>
      <c r="IX39" s="62"/>
      <c r="IY39" s="62"/>
      <c r="IZ39" s="62"/>
      <c r="JA39" s="62"/>
      <c r="JB39" s="62"/>
      <c r="JC39" s="62"/>
      <c r="JD39" s="62"/>
      <c r="JE39" s="62"/>
      <c r="JF39" s="62"/>
      <c r="JG39" s="62"/>
      <c r="JH39" s="62"/>
      <c r="JI39" s="62"/>
      <c r="JJ39" s="62"/>
      <c r="JK39" s="62"/>
      <c r="JL39" s="62"/>
      <c r="JM39" s="62"/>
      <c r="JN39" s="62"/>
      <c r="JO39" s="62"/>
      <c r="JP39" s="62"/>
      <c r="JQ39" s="62"/>
      <c r="JR39" s="62"/>
      <c r="JS39" s="62"/>
      <c r="JT39" s="62"/>
      <c r="JU39" s="62"/>
      <c r="JV39" s="62"/>
      <c r="JW39" s="62"/>
      <c r="JX39" s="62"/>
      <c r="JY39" s="62"/>
      <c r="JZ39" s="62"/>
      <c r="KA39" s="62"/>
      <c r="KB39" s="62"/>
      <c r="KC39" s="62"/>
      <c r="KD39" s="62"/>
      <c r="KE39" s="62"/>
      <c r="KF39" s="62"/>
      <c r="KG39" s="62"/>
      <c r="KH39" s="62"/>
      <c r="KI39" s="62"/>
      <c r="KJ39" s="62"/>
      <c r="KK39" s="62"/>
      <c r="KL39" s="62"/>
      <c r="KM39" s="62"/>
      <c r="KN39" s="62"/>
      <c r="KO39" s="62"/>
      <c r="KP39" s="62"/>
      <c r="KQ39" s="62"/>
      <c r="KR39" s="62"/>
      <c r="KS39" s="62"/>
      <c r="KT39" s="62"/>
      <c r="KU39" s="62"/>
      <c r="KV39" s="62"/>
      <c r="KW39" s="62"/>
      <c r="KX39" s="62"/>
      <c r="KY39" s="62"/>
      <c r="KZ39" s="62"/>
      <c r="LA39" s="62"/>
      <c r="LB39" s="62"/>
      <c r="LC39" s="62"/>
      <c r="LD39" s="62"/>
      <c r="LE39" s="62"/>
      <c r="LF39" s="62"/>
      <c r="LG39" s="62"/>
      <c r="LH39" s="62"/>
      <c r="LI39" s="62"/>
      <c r="LJ39" s="62"/>
      <c r="LK39" s="62"/>
      <c r="LL39" s="62"/>
      <c r="LM39" s="62"/>
      <c r="LN39" s="62"/>
      <c r="LO39" s="62"/>
      <c r="LP39" s="62"/>
      <c r="LQ39" s="62"/>
      <c r="LR39" s="62"/>
      <c r="LS39" s="62"/>
      <c r="LT39" s="62"/>
      <c r="LU39" s="62"/>
      <c r="LV39" s="62"/>
      <c r="LW39" s="62"/>
      <c r="LX39" s="62"/>
      <c r="LY39" s="62"/>
      <c r="LZ39" s="62"/>
      <c r="MA39" s="62"/>
      <c r="MB39" s="62"/>
      <c r="MC39" s="62"/>
      <c r="MD39" s="62"/>
      <c r="ME39" s="62"/>
      <c r="MF39" s="62"/>
      <c r="MG39" s="62"/>
      <c r="MH39" s="62"/>
      <c r="MI39" s="62"/>
      <c r="MJ39" s="62"/>
      <c r="MK39" s="62"/>
      <c r="ML39" s="62"/>
      <c r="MM39" s="62"/>
      <c r="MN39" s="62"/>
      <c r="MO39" s="62"/>
      <c r="MP39" s="62"/>
      <c r="MQ39" s="62"/>
      <c r="MR39" s="62"/>
      <c r="MS39" s="62"/>
      <c r="MT39" s="62"/>
      <c r="MU39" s="62"/>
      <c r="MV39" s="62"/>
      <c r="MW39" s="62"/>
      <c r="MX39" s="62"/>
      <c r="MY39" s="62"/>
      <c r="MZ39" s="62"/>
      <c r="NA39" s="62"/>
      <c r="NB39" s="62"/>
      <c r="NC39" s="62"/>
      <c r="ND39" s="62"/>
      <c r="NE39" s="62"/>
      <c r="NF39" s="62"/>
      <c r="NG39" s="62"/>
      <c r="NH39" s="62"/>
      <c r="NI39" s="62"/>
      <c r="NJ39" s="62"/>
      <c r="NK39" s="62"/>
      <c r="NL39" s="62"/>
      <c r="NM39" s="62"/>
      <c r="NN39" s="62"/>
      <c r="NO39" s="62"/>
      <c r="NP39" s="62"/>
      <c r="NQ39" s="62"/>
      <c r="NR39" s="62"/>
      <c r="NS39" s="62"/>
      <c r="NT39" s="62"/>
      <c r="NU39" s="62"/>
      <c r="NV39" s="62"/>
      <c r="NW39" s="62"/>
      <c r="NX39" s="62"/>
      <c r="NY39" s="62"/>
      <c r="NZ39" s="62"/>
      <c r="OA39" s="62"/>
      <c r="OB39" s="62"/>
      <c r="OC39" s="62"/>
      <c r="OD39" s="62"/>
      <c r="OE39" s="62"/>
      <c r="OF39" s="62"/>
      <c r="OG39" s="62"/>
      <c r="OH39" s="62"/>
      <c r="OI39" s="62"/>
      <c r="OJ39" s="62"/>
      <c r="OK39" s="62"/>
      <c r="OL39" s="62"/>
      <c r="OM39" s="62"/>
      <c r="ON39" s="62"/>
      <c r="OO39" s="62"/>
      <c r="OP39" s="62"/>
      <c r="OQ39" s="62"/>
      <c r="OR39" s="62"/>
      <c r="OS39" s="62"/>
      <c r="OT39" s="62"/>
      <c r="OU39" s="62"/>
      <c r="OV39" s="62"/>
      <c r="OW39" s="62"/>
      <c r="OX39" s="62"/>
      <c r="OY39" s="62"/>
      <c r="OZ39" s="62"/>
      <c r="PA39" s="62"/>
      <c r="PB39" s="62"/>
      <c r="PC39" s="62"/>
      <c r="PD39" s="62"/>
      <c r="PE39" s="62"/>
      <c r="PF39" s="62"/>
      <c r="PG39" s="62"/>
      <c r="PH39" s="62"/>
      <c r="PI39" s="62"/>
      <c r="PJ39" s="62"/>
      <c r="PK39" s="62"/>
      <c r="PL39" s="62"/>
      <c r="PM39" s="62"/>
      <c r="PN39" s="62"/>
      <c r="PO39" s="62"/>
      <c r="PP39" s="62"/>
      <c r="PQ39" s="62"/>
      <c r="PR39" s="62"/>
      <c r="PS39" s="62"/>
      <c r="PT39" s="62"/>
      <c r="PU39" s="62"/>
      <c r="PV39" s="62"/>
      <c r="PW39" s="62"/>
      <c r="PX39" s="62"/>
      <c r="PY39" s="62"/>
      <c r="PZ39" s="62"/>
      <c r="QA39" s="62"/>
      <c r="QB39" s="62"/>
      <c r="QC39" s="62"/>
      <c r="QD39" s="62"/>
      <c r="QE39" s="62"/>
      <c r="QF39" s="62"/>
      <c r="QG39" s="62"/>
      <c r="QH39" s="62"/>
      <c r="QI39" s="62"/>
      <c r="QJ39" s="62"/>
      <c r="QK39" s="62"/>
      <c r="QL39" s="62"/>
      <c r="QM39" s="62"/>
      <c r="QN39" s="62"/>
      <c r="QO39" s="62"/>
      <c r="QP39" s="62"/>
      <c r="QQ39" s="62"/>
      <c r="QR39" s="62"/>
      <c r="QS39" s="62"/>
      <c r="QT39" s="62"/>
      <c r="QU39" s="62"/>
      <c r="QV39" s="62"/>
      <c r="QW39" s="62"/>
      <c r="QX39" s="62"/>
      <c r="QY39" s="62"/>
      <c r="QZ39" s="62"/>
      <c r="RA39" s="62"/>
      <c r="RB39" s="62"/>
      <c r="RC39" s="62"/>
      <c r="RD39" s="62"/>
      <c r="RE39" s="62"/>
      <c r="RF39" s="62"/>
      <c r="RG39" s="62"/>
      <c r="RH39" s="62"/>
      <c r="RI39" s="62"/>
      <c r="RJ39" s="62"/>
      <c r="RK39" s="62"/>
      <c r="RL39" s="62"/>
      <c r="RM39" s="62"/>
      <c r="RN39" s="62"/>
      <c r="RO39" s="62"/>
      <c r="RP39" s="62"/>
      <c r="RQ39" s="62"/>
      <c r="RR39" s="62"/>
      <c r="RS39" s="62"/>
      <c r="RT39" s="62"/>
      <c r="RU39" s="62"/>
      <c r="RV39" s="62"/>
      <c r="RW39" s="62"/>
      <c r="RX39" s="62"/>
      <c r="RY39" s="62"/>
      <c r="RZ39" s="62"/>
      <c r="SA39" s="62"/>
      <c r="SB39" s="62"/>
      <c r="SC39" s="62"/>
      <c r="SD39" s="62"/>
      <c r="SE39" s="62"/>
      <c r="SF39" s="62"/>
      <c r="SG39" s="62"/>
      <c r="SH39" s="62"/>
      <c r="SI39" s="62"/>
      <c r="SJ39" s="62"/>
      <c r="SK39" s="62"/>
      <c r="SL39" s="62"/>
      <c r="SM39" s="62"/>
      <c r="SN39" s="62"/>
      <c r="SO39" s="62"/>
      <c r="SP39" s="62"/>
      <c r="SQ39" s="62"/>
      <c r="SR39" s="62"/>
      <c r="SS39" s="62"/>
      <c r="ST39" s="62"/>
      <c r="SU39" s="62"/>
      <c r="SV39" s="62"/>
      <c r="SW39" s="62"/>
      <c r="SX39" s="62"/>
      <c r="SY39" s="62"/>
      <c r="SZ39" s="62"/>
      <c r="TA39" s="62"/>
      <c r="TB39" s="62"/>
      <c r="TC39" s="62"/>
      <c r="TD39" s="62"/>
      <c r="TE39" s="62"/>
      <c r="TF39" s="62"/>
      <c r="TG39" s="62"/>
      <c r="TH39" s="62"/>
      <c r="TI39" s="62"/>
      <c r="TJ39" s="62"/>
      <c r="TK39" s="62"/>
      <c r="TL39" s="62"/>
      <c r="TM39" s="62"/>
      <c r="TN39" s="62"/>
      <c r="TO39" s="62"/>
      <c r="TP39" s="62"/>
      <c r="TQ39" s="62"/>
      <c r="TR39" s="62"/>
      <c r="TS39" s="62"/>
      <c r="TT39" s="62"/>
      <c r="TU39" s="62"/>
      <c r="TV39" s="62"/>
      <c r="TW39" s="62"/>
      <c r="TX39" s="62"/>
      <c r="TY39" s="62"/>
      <c r="TZ39" s="62"/>
      <c r="UA39" s="62"/>
      <c r="UB39" s="62"/>
      <c r="UC39" s="62"/>
      <c r="UD39" s="62"/>
      <c r="UE39" s="62"/>
      <c r="UF39" s="62"/>
      <c r="UG39" s="62"/>
      <c r="UH39" s="62"/>
      <c r="UI39" s="62"/>
      <c r="UJ39" s="62"/>
      <c r="UK39" s="62"/>
      <c r="UL39" s="62"/>
      <c r="UM39" s="62"/>
      <c r="UN39" s="62"/>
      <c r="UO39" s="62"/>
      <c r="UP39" s="62"/>
      <c r="UQ39" s="62"/>
      <c r="UR39" s="62"/>
      <c r="US39" s="62"/>
      <c r="UT39" s="62"/>
      <c r="UU39" s="62"/>
      <c r="UV39" s="62"/>
      <c r="UW39" s="62"/>
      <c r="UX39" s="62"/>
      <c r="UY39" s="62"/>
      <c r="UZ39" s="62"/>
      <c r="VA39" s="62"/>
      <c r="VB39" s="62"/>
      <c r="VC39" s="62"/>
      <c r="VD39" s="62"/>
      <c r="VE39" s="62"/>
      <c r="VF39" s="62"/>
      <c r="VG39" s="62"/>
      <c r="VH39" s="62"/>
      <c r="VI39" s="62"/>
      <c r="VJ39" s="62"/>
      <c r="VK39" s="62"/>
      <c r="VL39" s="62"/>
      <c r="VM39" s="62"/>
      <c r="VN39" s="62"/>
      <c r="VO39" s="62"/>
      <c r="VP39" s="62"/>
      <c r="VQ39" s="62"/>
      <c r="VR39" s="62"/>
      <c r="VS39" s="62"/>
      <c r="VT39" s="62"/>
      <c r="VU39" s="62"/>
      <c r="VV39" s="62"/>
      <c r="VW39" s="62"/>
      <c r="VX39" s="62"/>
      <c r="VY39" s="62"/>
      <c r="VZ39" s="62"/>
      <c r="WA39" s="62"/>
      <c r="WB39" s="62"/>
      <c r="WC39" s="62"/>
      <c r="WD39" s="62"/>
      <c r="WE39" s="62"/>
      <c r="WF39" s="62"/>
      <c r="WG39" s="62"/>
      <c r="WH39" s="62"/>
      <c r="WI39" s="62"/>
      <c r="WJ39" s="62"/>
      <c r="WK39" s="62"/>
      <c r="WL39" s="62"/>
      <c r="WM39" s="62"/>
      <c r="WN39" s="62"/>
      <c r="WO39" s="62"/>
      <c r="WP39" s="62"/>
      <c r="WQ39" s="62"/>
      <c r="WR39" s="62"/>
      <c r="WS39" s="62"/>
      <c r="WT39" s="62"/>
      <c r="WU39" s="62"/>
      <c r="WV39" s="62"/>
      <c r="WW39" s="62"/>
      <c r="WX39" s="62"/>
      <c r="WY39" s="62"/>
      <c r="WZ39" s="62"/>
      <c r="XA39" s="62"/>
      <c r="XB39" s="62"/>
      <c r="XC39" s="62"/>
      <c r="XD39" s="62"/>
      <c r="XE39" s="62"/>
      <c r="XF39" s="62"/>
      <c r="XG39" s="62"/>
      <c r="XH39" s="62"/>
      <c r="XI39" s="62"/>
      <c r="XJ39" s="62"/>
      <c r="XK39" s="62"/>
      <c r="XL39" s="62"/>
      <c r="XM39" s="62"/>
      <c r="XN39" s="62"/>
      <c r="XO39" s="62"/>
      <c r="XP39" s="62"/>
      <c r="XQ39" s="62"/>
      <c r="XR39" s="62"/>
      <c r="XS39" s="62"/>
      <c r="XT39" s="62"/>
      <c r="XU39" s="62"/>
      <c r="XV39" s="62"/>
      <c r="XW39" s="62"/>
      <c r="XX39" s="62"/>
      <c r="XY39" s="62"/>
      <c r="XZ39" s="62"/>
      <c r="YA39" s="62"/>
      <c r="YB39" s="62"/>
      <c r="YC39" s="62"/>
      <c r="YD39" s="62"/>
      <c r="YE39" s="62"/>
      <c r="YF39" s="62"/>
      <c r="YG39" s="62"/>
      <c r="YH39" s="62"/>
      <c r="YI39" s="62"/>
      <c r="YJ39" s="62"/>
      <c r="YK39" s="62"/>
      <c r="YL39" s="62"/>
      <c r="YM39" s="62"/>
      <c r="YN39" s="62"/>
      <c r="YO39" s="62"/>
      <c r="YP39" s="62"/>
      <c r="YQ39" s="62"/>
      <c r="YR39" s="62"/>
      <c r="YS39" s="62"/>
      <c r="YT39" s="62"/>
      <c r="YU39" s="62"/>
      <c r="YV39" s="62"/>
      <c r="YW39" s="62"/>
      <c r="YX39" s="62"/>
      <c r="YY39" s="62"/>
      <c r="YZ39" s="62"/>
      <c r="ZA39" s="62"/>
      <c r="ZB39" s="62"/>
      <c r="ZC39" s="62"/>
      <c r="ZD39" s="62"/>
      <c r="ZE39" s="62"/>
      <c r="ZF39" s="62"/>
      <c r="ZG39" s="62"/>
      <c r="ZH39" s="62"/>
      <c r="ZI39" s="62"/>
      <c r="ZJ39" s="62"/>
      <c r="ZK39" s="62"/>
      <c r="ZL39" s="62"/>
      <c r="ZM39" s="62"/>
      <c r="ZN39" s="62"/>
      <c r="ZO39" s="62"/>
      <c r="ZP39" s="62"/>
      <c r="ZQ39" s="62"/>
      <c r="ZR39" s="62"/>
      <c r="ZS39" s="62"/>
      <c r="ZT39" s="62"/>
      <c r="ZU39" s="62"/>
      <c r="ZV39" s="62"/>
      <c r="ZW39" s="62"/>
      <c r="ZX39" s="62"/>
      <c r="ZY39" s="62"/>
      <c r="ZZ39" s="62"/>
      <c r="AAA39" s="62"/>
      <c r="AAB39" s="62"/>
      <c r="AAC39" s="62"/>
      <c r="AAD39" s="62"/>
      <c r="AAE39" s="62"/>
      <c r="AAF39" s="62"/>
      <c r="AAG39" s="62"/>
      <c r="AAH39" s="62"/>
      <c r="AAI39" s="62"/>
      <c r="AAJ39" s="62"/>
      <c r="AAK39" s="62"/>
      <c r="AAL39" s="62"/>
      <c r="AAM39" s="62"/>
      <c r="AAN39" s="62"/>
      <c r="AAO39" s="62"/>
      <c r="AAP39" s="62"/>
      <c r="AAQ39" s="62"/>
      <c r="AAR39" s="62"/>
      <c r="AAS39" s="62"/>
      <c r="AAT39" s="62"/>
      <c r="AAU39" s="62"/>
      <c r="AAV39" s="62"/>
      <c r="AAW39" s="62"/>
      <c r="AAX39" s="62"/>
      <c r="AAY39" s="62"/>
      <c r="AAZ39" s="62"/>
      <c r="ABA39" s="62"/>
      <c r="ABB39" s="62"/>
      <c r="ABC39" s="62"/>
      <c r="ABD39" s="62"/>
      <c r="ABE39" s="62"/>
      <c r="ABF39" s="62"/>
      <c r="ABG39" s="62"/>
      <c r="ABH39" s="62"/>
      <c r="ABI39" s="62"/>
      <c r="ABJ39" s="62"/>
      <c r="ABK39" s="62"/>
      <c r="ABL39" s="62"/>
      <c r="ABM39" s="62"/>
      <c r="ABN39" s="62"/>
      <c r="ABO39" s="62"/>
      <c r="ABP39" s="62"/>
      <c r="ABQ39" s="62"/>
      <c r="ABR39" s="62"/>
      <c r="ABS39" s="62"/>
      <c r="ABT39" s="62"/>
      <c r="ABU39" s="62"/>
      <c r="ABV39" s="62"/>
      <c r="ABW39" s="62"/>
      <c r="ABX39" s="62"/>
      <c r="ABY39" s="62"/>
      <c r="ABZ39" s="62"/>
      <c r="ACA39" s="62"/>
      <c r="ACB39" s="62"/>
      <c r="ACC39" s="62"/>
      <c r="ACD39" s="62"/>
      <c r="ACE39" s="62"/>
      <c r="ACF39" s="62"/>
      <c r="ACG39" s="62"/>
      <c r="ACH39" s="62"/>
      <c r="ACI39" s="62"/>
      <c r="ACJ39" s="62"/>
      <c r="ACK39" s="62"/>
      <c r="ACL39" s="62"/>
      <c r="ACM39" s="62"/>
      <c r="ACN39" s="62"/>
      <c r="ACO39" s="62"/>
      <c r="ACP39" s="62"/>
      <c r="ACQ39" s="62"/>
      <c r="ACR39" s="62"/>
      <c r="ACS39" s="62"/>
      <c r="ACT39" s="62"/>
      <c r="ACU39" s="62"/>
      <c r="ACV39" s="62"/>
      <c r="ACW39" s="62"/>
      <c r="ACX39" s="62"/>
      <c r="ACY39" s="62"/>
      <c r="ACZ39" s="62"/>
      <c r="ADA39" s="62"/>
      <c r="ADB39" s="62"/>
      <c r="ADC39" s="62"/>
      <c r="ADD39" s="62"/>
      <c r="ADE39" s="62"/>
      <c r="ADF39" s="62"/>
      <c r="ADG39" s="62"/>
      <c r="ADH39" s="62"/>
      <c r="ADI39" s="62"/>
      <c r="ADJ39" s="62"/>
      <c r="ADK39" s="62"/>
      <c r="ADL39" s="62"/>
      <c r="ADM39" s="62"/>
      <c r="ADN39" s="62"/>
      <c r="ADO39" s="62"/>
      <c r="ADP39" s="62"/>
      <c r="ADQ39" s="62"/>
      <c r="ADR39" s="62"/>
      <c r="ADS39" s="62"/>
      <c r="ADT39" s="62"/>
      <c r="ADU39" s="62"/>
      <c r="ADV39" s="62"/>
      <c r="ADW39" s="62"/>
      <c r="ADX39" s="62"/>
      <c r="ADY39" s="62"/>
      <c r="ADZ39" s="62"/>
      <c r="AEA39" s="62"/>
      <c r="AEB39" s="62"/>
      <c r="AEC39" s="62"/>
      <c r="AED39" s="62"/>
      <c r="AEE39" s="62"/>
      <c r="AEF39" s="62"/>
      <c r="AEG39" s="62"/>
      <c r="AEH39" s="62"/>
      <c r="AEI39" s="62"/>
      <c r="AEJ39" s="62"/>
      <c r="AEK39" s="62"/>
      <c r="AEL39" s="62"/>
      <c r="AEM39" s="62"/>
      <c r="AEN39" s="62"/>
      <c r="AEO39" s="62"/>
      <c r="AEP39" s="62"/>
      <c r="AEQ39" s="62"/>
      <c r="AER39" s="62"/>
      <c r="AES39" s="62"/>
      <c r="AET39" s="62"/>
      <c r="AEU39" s="62"/>
      <c r="AEV39" s="62"/>
      <c r="AEW39" s="62"/>
      <c r="AEX39" s="62"/>
      <c r="AEY39" s="62"/>
      <c r="AEZ39" s="62"/>
      <c r="AFA39" s="62"/>
      <c r="AFB39" s="62"/>
      <c r="AFC39" s="62"/>
      <c r="AFD39" s="62"/>
      <c r="AFE39" s="62"/>
      <c r="AFF39" s="62"/>
      <c r="AFG39" s="62"/>
      <c r="AFH39" s="62"/>
      <c r="AFI39" s="62"/>
      <c r="AFJ39" s="62"/>
      <c r="AFK39" s="62"/>
      <c r="AFL39" s="62"/>
      <c r="AFM39" s="62"/>
      <c r="AFN39" s="62"/>
      <c r="AFO39" s="62"/>
      <c r="AFP39" s="62"/>
      <c r="AFQ39" s="62"/>
      <c r="AFR39" s="62"/>
      <c r="AFS39" s="62"/>
      <c r="AFT39" s="62"/>
      <c r="AFU39" s="62"/>
      <c r="AFV39" s="62"/>
      <c r="AFW39" s="62"/>
      <c r="AFX39" s="62"/>
      <c r="AFY39" s="62"/>
      <c r="AFZ39" s="62"/>
      <c r="AGA39" s="62"/>
      <c r="AGB39" s="62"/>
      <c r="AGC39" s="62"/>
      <c r="AGD39" s="62"/>
      <c r="AGE39" s="62"/>
      <c r="AGF39" s="62"/>
      <c r="AGG39" s="62"/>
      <c r="AGH39" s="62"/>
      <c r="AGI39" s="62"/>
      <c r="AGJ39" s="62"/>
      <c r="AGK39" s="62"/>
      <c r="AGL39" s="62"/>
      <c r="AGM39" s="62"/>
      <c r="AGN39" s="62"/>
      <c r="AGO39" s="62"/>
      <c r="AGP39" s="62"/>
      <c r="AGQ39" s="62"/>
      <c r="AGR39" s="62"/>
      <c r="AGS39" s="62"/>
      <c r="AGT39" s="62"/>
      <c r="AGU39" s="62"/>
      <c r="AGV39" s="62"/>
      <c r="AGW39" s="62"/>
      <c r="AGX39" s="62"/>
      <c r="AGY39" s="62"/>
      <c r="AGZ39" s="62"/>
      <c r="AHA39" s="62"/>
      <c r="AHB39" s="62"/>
      <c r="AHC39" s="62"/>
      <c r="AHD39" s="62"/>
      <c r="AHE39" s="62"/>
      <c r="AHF39" s="62"/>
      <c r="AHG39" s="62"/>
      <c r="AHH39" s="62"/>
      <c r="AHI39" s="62"/>
      <c r="AHJ39" s="62"/>
      <c r="AHK39" s="62"/>
      <c r="AHL39" s="62"/>
      <c r="AHM39" s="62"/>
      <c r="AHN39" s="62"/>
      <c r="AHO39" s="62"/>
      <c r="AHP39" s="62"/>
      <c r="AHQ39" s="62"/>
      <c r="AHR39" s="62"/>
      <c r="AHS39" s="62"/>
      <c r="AHT39" s="62"/>
      <c r="AHU39" s="62"/>
      <c r="AHV39" s="62"/>
      <c r="AHW39" s="62"/>
      <c r="AHX39" s="62"/>
      <c r="AHY39" s="62"/>
      <c r="AHZ39" s="62"/>
      <c r="AIA39" s="62"/>
      <c r="AIB39" s="62"/>
      <c r="AIC39" s="62"/>
      <c r="AID39" s="62"/>
      <c r="AIE39" s="62"/>
      <c r="AIF39" s="62"/>
      <c r="AIG39" s="62"/>
      <c r="AIH39" s="62"/>
      <c r="AII39" s="62"/>
      <c r="AIJ39" s="62"/>
      <c r="AIK39" s="62"/>
      <c r="AIL39" s="62"/>
      <c r="AIM39" s="62"/>
      <c r="AIN39" s="62"/>
      <c r="AIO39" s="62"/>
      <c r="AIP39" s="62"/>
      <c r="AIQ39" s="62"/>
      <c r="AIR39" s="62"/>
      <c r="AIS39" s="62"/>
      <c r="AIT39" s="62"/>
      <c r="AIU39" s="62"/>
      <c r="AIV39" s="62"/>
      <c r="AIW39" s="62"/>
      <c r="AIX39" s="62"/>
      <c r="AIY39" s="62"/>
      <c r="AIZ39" s="62"/>
      <c r="AJA39" s="62"/>
      <c r="AJB39" s="62"/>
      <c r="AJC39" s="62"/>
      <c r="AJD39" s="62"/>
      <c r="AJE39" s="62"/>
      <c r="AJF39" s="62"/>
      <c r="AJG39" s="62"/>
      <c r="AJH39" s="62"/>
      <c r="AJI39" s="62"/>
      <c r="AJJ39" s="62"/>
      <c r="AJK39" s="62"/>
      <c r="AJL39" s="62"/>
      <c r="AJM39" s="62"/>
      <c r="AJN39" s="62"/>
      <c r="AJO39" s="62"/>
      <c r="AJP39" s="62"/>
      <c r="AJQ39" s="62"/>
      <c r="AJR39" s="62"/>
      <c r="AJS39" s="62"/>
      <c r="AJT39" s="62"/>
      <c r="AJU39" s="62"/>
      <c r="AJV39" s="62"/>
      <c r="AJW39" s="62"/>
      <c r="AJX39" s="62"/>
      <c r="AJY39" s="62"/>
      <c r="AJZ39" s="62"/>
      <c r="AKA39" s="62"/>
      <c r="AKB39" s="62"/>
      <c r="AKC39" s="62"/>
      <c r="AKD39" s="62"/>
      <c r="AKE39" s="62"/>
      <c r="AKF39" s="62"/>
      <c r="AKG39" s="62"/>
      <c r="AKH39" s="62"/>
      <c r="AKI39" s="62"/>
      <c r="AKJ39" s="62"/>
      <c r="AKK39" s="62"/>
      <c r="AKL39" s="62"/>
      <c r="AKM39" s="62"/>
      <c r="AKN39" s="62"/>
      <c r="AKO39" s="62"/>
      <c r="AKP39" s="62"/>
      <c r="AKQ39" s="62"/>
      <c r="AKR39" s="62"/>
      <c r="AKS39" s="62"/>
      <c r="AKT39" s="62"/>
      <c r="AKU39" s="62"/>
      <c r="AKV39" s="62"/>
      <c r="AKW39" s="62"/>
      <c r="AKX39" s="62"/>
      <c r="AKY39" s="62"/>
      <c r="AKZ39" s="62"/>
      <c r="ALA39" s="62"/>
      <c r="ALB39" s="62"/>
      <c r="ALC39" s="62"/>
      <c r="ALD39" s="62"/>
      <c r="ALE39" s="62"/>
      <c r="ALF39" s="62"/>
      <c r="ALG39" s="62"/>
      <c r="ALH39" s="62"/>
      <c r="ALI39" s="62"/>
      <c r="ALJ39" s="62"/>
      <c r="ALK39" s="62"/>
      <c r="ALL39" s="62"/>
      <c r="ALM39" s="62"/>
      <c r="ALN39" s="62"/>
      <c r="ALO39" s="62"/>
      <c r="ALP39" s="62"/>
      <c r="ALQ39" s="62"/>
      <c r="ALR39" s="62"/>
      <c r="ALS39" s="62"/>
      <c r="ALT39" s="62"/>
      <c r="ALU39" s="62"/>
      <c r="ALV39" s="62"/>
      <c r="ALW39" s="62"/>
      <c r="ALX39" s="62"/>
      <c r="ALY39" s="62"/>
      <c r="ALZ39" s="62"/>
      <c r="AMA39" s="62"/>
      <c r="AMB39" s="62"/>
      <c r="AMC39" s="62"/>
      <c r="AMD39" s="62"/>
      <c r="AME39" s="62"/>
      <c r="AMF39" s="62"/>
      <c r="AMG39" s="62"/>
      <c r="AMH39" s="62"/>
      <c r="AMI39" s="62"/>
      <c r="AMJ39" s="62"/>
    </row>
    <row r="40" spans="1:1024" s="83" customFormat="1" ht="15">
      <c r="A40" s="62"/>
      <c r="B40" s="57"/>
      <c r="C40" s="698" t="s">
        <v>1445</v>
      </c>
      <c r="D40" s="698"/>
      <c r="E40" s="698"/>
      <c r="F40" s="58">
        <f aca="true" t="shared" si="10" ref="F40">G40+H40+I40</f>
        <v>0</v>
      </c>
      <c r="G40" s="58">
        <f>'2.2.M Zdravotechnika'!J7</f>
        <v>0</v>
      </c>
      <c r="H40" s="59"/>
      <c r="I40" s="60">
        <f aca="true" t="shared" si="11" ref="I40">(G40*SazbaDPH1)/100+(H40*SazbaDPH2)/100</f>
        <v>0</v>
      </c>
      <c r="J40" s="62"/>
      <c r="K40" s="61"/>
      <c r="L40" s="61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  <c r="IR40" s="62"/>
      <c r="IS40" s="62"/>
      <c r="IT40" s="62"/>
      <c r="IU40" s="62"/>
      <c r="IV40" s="62"/>
      <c r="IW40" s="62"/>
      <c r="IX40" s="62"/>
      <c r="IY40" s="62"/>
      <c r="IZ40" s="62"/>
      <c r="JA40" s="62"/>
      <c r="JB40" s="62"/>
      <c r="JC40" s="62"/>
      <c r="JD40" s="62"/>
      <c r="JE40" s="62"/>
      <c r="JF40" s="62"/>
      <c r="JG40" s="62"/>
      <c r="JH40" s="62"/>
      <c r="JI40" s="62"/>
      <c r="JJ40" s="62"/>
      <c r="JK40" s="62"/>
      <c r="JL40" s="62"/>
      <c r="JM40" s="62"/>
      <c r="JN40" s="62"/>
      <c r="JO40" s="62"/>
      <c r="JP40" s="62"/>
      <c r="JQ40" s="62"/>
      <c r="JR40" s="62"/>
      <c r="JS40" s="62"/>
      <c r="JT40" s="62"/>
      <c r="JU40" s="62"/>
      <c r="JV40" s="62"/>
      <c r="JW40" s="62"/>
      <c r="JX40" s="62"/>
      <c r="JY40" s="62"/>
      <c r="JZ40" s="62"/>
      <c r="KA40" s="62"/>
      <c r="KB40" s="62"/>
      <c r="KC40" s="62"/>
      <c r="KD40" s="62"/>
      <c r="KE40" s="62"/>
      <c r="KF40" s="62"/>
      <c r="KG40" s="62"/>
      <c r="KH40" s="62"/>
      <c r="KI40" s="62"/>
      <c r="KJ40" s="62"/>
      <c r="KK40" s="62"/>
      <c r="KL40" s="62"/>
      <c r="KM40" s="62"/>
      <c r="KN40" s="62"/>
      <c r="KO40" s="62"/>
      <c r="KP40" s="62"/>
      <c r="KQ40" s="62"/>
      <c r="KR40" s="62"/>
      <c r="KS40" s="62"/>
      <c r="KT40" s="62"/>
      <c r="KU40" s="62"/>
      <c r="KV40" s="62"/>
      <c r="KW40" s="62"/>
      <c r="KX40" s="62"/>
      <c r="KY40" s="62"/>
      <c r="KZ40" s="62"/>
      <c r="LA40" s="62"/>
      <c r="LB40" s="62"/>
      <c r="LC40" s="62"/>
      <c r="LD40" s="62"/>
      <c r="LE40" s="62"/>
      <c r="LF40" s="62"/>
      <c r="LG40" s="62"/>
      <c r="LH40" s="62"/>
      <c r="LI40" s="62"/>
      <c r="LJ40" s="62"/>
      <c r="LK40" s="62"/>
      <c r="LL40" s="62"/>
      <c r="LM40" s="62"/>
      <c r="LN40" s="62"/>
      <c r="LO40" s="62"/>
      <c r="LP40" s="62"/>
      <c r="LQ40" s="62"/>
      <c r="LR40" s="62"/>
      <c r="LS40" s="62"/>
      <c r="LT40" s="62"/>
      <c r="LU40" s="62"/>
      <c r="LV40" s="62"/>
      <c r="LW40" s="62"/>
      <c r="LX40" s="62"/>
      <c r="LY40" s="62"/>
      <c r="LZ40" s="62"/>
      <c r="MA40" s="62"/>
      <c r="MB40" s="62"/>
      <c r="MC40" s="62"/>
      <c r="MD40" s="62"/>
      <c r="ME40" s="62"/>
      <c r="MF40" s="62"/>
      <c r="MG40" s="62"/>
      <c r="MH40" s="62"/>
      <c r="MI40" s="62"/>
      <c r="MJ40" s="62"/>
      <c r="MK40" s="62"/>
      <c r="ML40" s="62"/>
      <c r="MM40" s="62"/>
      <c r="MN40" s="62"/>
      <c r="MO40" s="62"/>
      <c r="MP40" s="62"/>
      <c r="MQ40" s="62"/>
      <c r="MR40" s="62"/>
      <c r="MS40" s="62"/>
      <c r="MT40" s="62"/>
      <c r="MU40" s="62"/>
      <c r="MV40" s="62"/>
      <c r="MW40" s="62"/>
      <c r="MX40" s="62"/>
      <c r="MY40" s="62"/>
      <c r="MZ40" s="62"/>
      <c r="NA40" s="62"/>
      <c r="NB40" s="62"/>
      <c r="NC40" s="62"/>
      <c r="ND40" s="62"/>
      <c r="NE40" s="62"/>
      <c r="NF40" s="62"/>
      <c r="NG40" s="62"/>
      <c r="NH40" s="62"/>
      <c r="NI40" s="62"/>
      <c r="NJ40" s="62"/>
      <c r="NK40" s="62"/>
      <c r="NL40" s="62"/>
      <c r="NM40" s="62"/>
      <c r="NN40" s="62"/>
      <c r="NO40" s="62"/>
      <c r="NP40" s="62"/>
      <c r="NQ40" s="62"/>
      <c r="NR40" s="62"/>
      <c r="NS40" s="62"/>
      <c r="NT40" s="62"/>
      <c r="NU40" s="62"/>
      <c r="NV40" s="62"/>
      <c r="NW40" s="62"/>
      <c r="NX40" s="62"/>
      <c r="NY40" s="62"/>
      <c r="NZ40" s="62"/>
      <c r="OA40" s="62"/>
      <c r="OB40" s="62"/>
      <c r="OC40" s="62"/>
      <c r="OD40" s="62"/>
      <c r="OE40" s="62"/>
      <c r="OF40" s="62"/>
      <c r="OG40" s="62"/>
      <c r="OH40" s="62"/>
      <c r="OI40" s="62"/>
      <c r="OJ40" s="62"/>
      <c r="OK40" s="62"/>
      <c r="OL40" s="62"/>
      <c r="OM40" s="62"/>
      <c r="ON40" s="62"/>
      <c r="OO40" s="62"/>
      <c r="OP40" s="62"/>
      <c r="OQ40" s="62"/>
      <c r="OR40" s="62"/>
      <c r="OS40" s="62"/>
      <c r="OT40" s="62"/>
      <c r="OU40" s="62"/>
      <c r="OV40" s="62"/>
      <c r="OW40" s="62"/>
      <c r="OX40" s="62"/>
      <c r="OY40" s="62"/>
      <c r="OZ40" s="62"/>
      <c r="PA40" s="62"/>
      <c r="PB40" s="62"/>
      <c r="PC40" s="62"/>
      <c r="PD40" s="62"/>
      <c r="PE40" s="62"/>
      <c r="PF40" s="62"/>
      <c r="PG40" s="62"/>
      <c r="PH40" s="62"/>
      <c r="PI40" s="62"/>
      <c r="PJ40" s="62"/>
      <c r="PK40" s="62"/>
      <c r="PL40" s="62"/>
      <c r="PM40" s="62"/>
      <c r="PN40" s="62"/>
      <c r="PO40" s="62"/>
      <c r="PP40" s="62"/>
      <c r="PQ40" s="62"/>
      <c r="PR40" s="62"/>
      <c r="PS40" s="62"/>
      <c r="PT40" s="62"/>
      <c r="PU40" s="62"/>
      <c r="PV40" s="62"/>
      <c r="PW40" s="62"/>
      <c r="PX40" s="62"/>
      <c r="PY40" s="62"/>
      <c r="PZ40" s="62"/>
      <c r="QA40" s="62"/>
      <c r="QB40" s="62"/>
      <c r="QC40" s="62"/>
      <c r="QD40" s="62"/>
      <c r="QE40" s="62"/>
      <c r="QF40" s="62"/>
      <c r="QG40" s="62"/>
      <c r="QH40" s="62"/>
      <c r="QI40" s="62"/>
      <c r="QJ40" s="62"/>
      <c r="QK40" s="62"/>
      <c r="QL40" s="62"/>
      <c r="QM40" s="62"/>
      <c r="QN40" s="62"/>
      <c r="QO40" s="62"/>
      <c r="QP40" s="62"/>
      <c r="QQ40" s="62"/>
      <c r="QR40" s="62"/>
      <c r="QS40" s="62"/>
      <c r="QT40" s="62"/>
      <c r="QU40" s="62"/>
      <c r="QV40" s="62"/>
      <c r="QW40" s="62"/>
      <c r="QX40" s="62"/>
      <c r="QY40" s="62"/>
      <c r="QZ40" s="62"/>
      <c r="RA40" s="62"/>
      <c r="RB40" s="62"/>
      <c r="RC40" s="62"/>
      <c r="RD40" s="62"/>
      <c r="RE40" s="62"/>
      <c r="RF40" s="62"/>
      <c r="RG40" s="62"/>
      <c r="RH40" s="62"/>
      <c r="RI40" s="62"/>
      <c r="RJ40" s="62"/>
      <c r="RK40" s="62"/>
      <c r="RL40" s="62"/>
      <c r="RM40" s="62"/>
      <c r="RN40" s="62"/>
      <c r="RO40" s="62"/>
      <c r="RP40" s="62"/>
      <c r="RQ40" s="62"/>
      <c r="RR40" s="62"/>
      <c r="RS40" s="62"/>
      <c r="RT40" s="62"/>
      <c r="RU40" s="62"/>
      <c r="RV40" s="62"/>
      <c r="RW40" s="62"/>
      <c r="RX40" s="62"/>
      <c r="RY40" s="62"/>
      <c r="RZ40" s="62"/>
      <c r="SA40" s="62"/>
      <c r="SB40" s="62"/>
      <c r="SC40" s="62"/>
      <c r="SD40" s="62"/>
      <c r="SE40" s="62"/>
      <c r="SF40" s="62"/>
      <c r="SG40" s="62"/>
      <c r="SH40" s="62"/>
      <c r="SI40" s="62"/>
      <c r="SJ40" s="62"/>
      <c r="SK40" s="62"/>
      <c r="SL40" s="62"/>
      <c r="SM40" s="62"/>
      <c r="SN40" s="62"/>
      <c r="SO40" s="62"/>
      <c r="SP40" s="62"/>
      <c r="SQ40" s="62"/>
      <c r="SR40" s="62"/>
      <c r="SS40" s="62"/>
      <c r="ST40" s="62"/>
      <c r="SU40" s="62"/>
      <c r="SV40" s="62"/>
      <c r="SW40" s="62"/>
      <c r="SX40" s="62"/>
      <c r="SY40" s="62"/>
      <c r="SZ40" s="62"/>
      <c r="TA40" s="62"/>
      <c r="TB40" s="62"/>
      <c r="TC40" s="62"/>
      <c r="TD40" s="62"/>
      <c r="TE40" s="62"/>
      <c r="TF40" s="62"/>
      <c r="TG40" s="62"/>
      <c r="TH40" s="62"/>
      <c r="TI40" s="62"/>
      <c r="TJ40" s="62"/>
      <c r="TK40" s="62"/>
      <c r="TL40" s="62"/>
      <c r="TM40" s="62"/>
      <c r="TN40" s="62"/>
      <c r="TO40" s="62"/>
      <c r="TP40" s="62"/>
      <c r="TQ40" s="62"/>
      <c r="TR40" s="62"/>
      <c r="TS40" s="62"/>
      <c r="TT40" s="62"/>
      <c r="TU40" s="62"/>
      <c r="TV40" s="62"/>
      <c r="TW40" s="62"/>
      <c r="TX40" s="62"/>
      <c r="TY40" s="62"/>
      <c r="TZ40" s="62"/>
      <c r="UA40" s="62"/>
      <c r="UB40" s="62"/>
      <c r="UC40" s="62"/>
      <c r="UD40" s="62"/>
      <c r="UE40" s="62"/>
      <c r="UF40" s="62"/>
      <c r="UG40" s="62"/>
      <c r="UH40" s="62"/>
      <c r="UI40" s="62"/>
      <c r="UJ40" s="62"/>
      <c r="UK40" s="62"/>
      <c r="UL40" s="62"/>
      <c r="UM40" s="62"/>
      <c r="UN40" s="62"/>
      <c r="UO40" s="62"/>
      <c r="UP40" s="62"/>
      <c r="UQ40" s="62"/>
      <c r="UR40" s="62"/>
      <c r="US40" s="62"/>
      <c r="UT40" s="62"/>
      <c r="UU40" s="62"/>
      <c r="UV40" s="62"/>
      <c r="UW40" s="62"/>
      <c r="UX40" s="62"/>
      <c r="UY40" s="62"/>
      <c r="UZ40" s="62"/>
      <c r="VA40" s="62"/>
      <c r="VB40" s="62"/>
      <c r="VC40" s="62"/>
      <c r="VD40" s="62"/>
      <c r="VE40" s="62"/>
      <c r="VF40" s="62"/>
      <c r="VG40" s="62"/>
      <c r="VH40" s="62"/>
      <c r="VI40" s="62"/>
      <c r="VJ40" s="62"/>
      <c r="VK40" s="62"/>
      <c r="VL40" s="62"/>
      <c r="VM40" s="62"/>
      <c r="VN40" s="62"/>
      <c r="VO40" s="62"/>
      <c r="VP40" s="62"/>
      <c r="VQ40" s="62"/>
      <c r="VR40" s="62"/>
      <c r="VS40" s="62"/>
      <c r="VT40" s="62"/>
      <c r="VU40" s="62"/>
      <c r="VV40" s="62"/>
      <c r="VW40" s="62"/>
      <c r="VX40" s="62"/>
      <c r="VY40" s="62"/>
      <c r="VZ40" s="62"/>
      <c r="WA40" s="62"/>
      <c r="WB40" s="62"/>
      <c r="WC40" s="62"/>
      <c r="WD40" s="62"/>
      <c r="WE40" s="62"/>
      <c r="WF40" s="62"/>
      <c r="WG40" s="62"/>
      <c r="WH40" s="62"/>
      <c r="WI40" s="62"/>
      <c r="WJ40" s="62"/>
      <c r="WK40" s="62"/>
      <c r="WL40" s="62"/>
      <c r="WM40" s="62"/>
      <c r="WN40" s="62"/>
      <c r="WO40" s="62"/>
      <c r="WP40" s="62"/>
      <c r="WQ40" s="62"/>
      <c r="WR40" s="62"/>
      <c r="WS40" s="62"/>
      <c r="WT40" s="62"/>
      <c r="WU40" s="62"/>
      <c r="WV40" s="62"/>
      <c r="WW40" s="62"/>
      <c r="WX40" s="62"/>
      <c r="WY40" s="62"/>
      <c r="WZ40" s="62"/>
      <c r="XA40" s="62"/>
      <c r="XB40" s="62"/>
      <c r="XC40" s="62"/>
      <c r="XD40" s="62"/>
      <c r="XE40" s="62"/>
      <c r="XF40" s="62"/>
      <c r="XG40" s="62"/>
      <c r="XH40" s="62"/>
      <c r="XI40" s="62"/>
      <c r="XJ40" s="62"/>
      <c r="XK40" s="62"/>
      <c r="XL40" s="62"/>
      <c r="XM40" s="62"/>
      <c r="XN40" s="62"/>
      <c r="XO40" s="62"/>
      <c r="XP40" s="62"/>
      <c r="XQ40" s="62"/>
      <c r="XR40" s="62"/>
      <c r="XS40" s="62"/>
      <c r="XT40" s="62"/>
      <c r="XU40" s="62"/>
      <c r="XV40" s="62"/>
      <c r="XW40" s="62"/>
      <c r="XX40" s="62"/>
      <c r="XY40" s="62"/>
      <c r="XZ40" s="62"/>
      <c r="YA40" s="62"/>
      <c r="YB40" s="62"/>
      <c r="YC40" s="62"/>
      <c r="YD40" s="62"/>
      <c r="YE40" s="62"/>
      <c r="YF40" s="62"/>
      <c r="YG40" s="62"/>
      <c r="YH40" s="62"/>
      <c r="YI40" s="62"/>
      <c r="YJ40" s="62"/>
      <c r="YK40" s="62"/>
      <c r="YL40" s="62"/>
      <c r="YM40" s="62"/>
      <c r="YN40" s="62"/>
      <c r="YO40" s="62"/>
      <c r="YP40" s="62"/>
      <c r="YQ40" s="62"/>
      <c r="YR40" s="62"/>
      <c r="YS40" s="62"/>
      <c r="YT40" s="62"/>
      <c r="YU40" s="62"/>
      <c r="YV40" s="62"/>
      <c r="YW40" s="62"/>
      <c r="YX40" s="62"/>
      <c r="YY40" s="62"/>
      <c r="YZ40" s="62"/>
      <c r="ZA40" s="62"/>
      <c r="ZB40" s="62"/>
      <c r="ZC40" s="62"/>
      <c r="ZD40" s="62"/>
      <c r="ZE40" s="62"/>
      <c r="ZF40" s="62"/>
      <c r="ZG40" s="62"/>
      <c r="ZH40" s="62"/>
      <c r="ZI40" s="62"/>
      <c r="ZJ40" s="62"/>
      <c r="ZK40" s="62"/>
      <c r="ZL40" s="62"/>
      <c r="ZM40" s="62"/>
      <c r="ZN40" s="62"/>
      <c r="ZO40" s="62"/>
      <c r="ZP40" s="62"/>
      <c r="ZQ40" s="62"/>
      <c r="ZR40" s="62"/>
      <c r="ZS40" s="62"/>
      <c r="ZT40" s="62"/>
      <c r="ZU40" s="62"/>
      <c r="ZV40" s="62"/>
      <c r="ZW40" s="62"/>
      <c r="ZX40" s="62"/>
      <c r="ZY40" s="62"/>
      <c r="ZZ40" s="62"/>
      <c r="AAA40" s="62"/>
      <c r="AAB40" s="62"/>
      <c r="AAC40" s="62"/>
      <c r="AAD40" s="62"/>
      <c r="AAE40" s="62"/>
      <c r="AAF40" s="62"/>
      <c r="AAG40" s="62"/>
      <c r="AAH40" s="62"/>
      <c r="AAI40" s="62"/>
      <c r="AAJ40" s="62"/>
      <c r="AAK40" s="62"/>
      <c r="AAL40" s="62"/>
      <c r="AAM40" s="62"/>
      <c r="AAN40" s="62"/>
      <c r="AAO40" s="62"/>
      <c r="AAP40" s="62"/>
      <c r="AAQ40" s="62"/>
      <c r="AAR40" s="62"/>
      <c r="AAS40" s="62"/>
      <c r="AAT40" s="62"/>
      <c r="AAU40" s="62"/>
      <c r="AAV40" s="62"/>
      <c r="AAW40" s="62"/>
      <c r="AAX40" s="62"/>
      <c r="AAY40" s="62"/>
      <c r="AAZ40" s="62"/>
      <c r="ABA40" s="62"/>
      <c r="ABB40" s="62"/>
      <c r="ABC40" s="62"/>
      <c r="ABD40" s="62"/>
      <c r="ABE40" s="62"/>
      <c r="ABF40" s="62"/>
      <c r="ABG40" s="62"/>
      <c r="ABH40" s="62"/>
      <c r="ABI40" s="62"/>
      <c r="ABJ40" s="62"/>
      <c r="ABK40" s="62"/>
      <c r="ABL40" s="62"/>
      <c r="ABM40" s="62"/>
      <c r="ABN40" s="62"/>
      <c r="ABO40" s="62"/>
      <c r="ABP40" s="62"/>
      <c r="ABQ40" s="62"/>
      <c r="ABR40" s="62"/>
      <c r="ABS40" s="62"/>
      <c r="ABT40" s="62"/>
      <c r="ABU40" s="62"/>
      <c r="ABV40" s="62"/>
      <c r="ABW40" s="62"/>
      <c r="ABX40" s="62"/>
      <c r="ABY40" s="62"/>
      <c r="ABZ40" s="62"/>
      <c r="ACA40" s="62"/>
      <c r="ACB40" s="62"/>
      <c r="ACC40" s="62"/>
      <c r="ACD40" s="62"/>
      <c r="ACE40" s="62"/>
      <c r="ACF40" s="62"/>
      <c r="ACG40" s="62"/>
      <c r="ACH40" s="62"/>
      <c r="ACI40" s="62"/>
      <c r="ACJ40" s="62"/>
      <c r="ACK40" s="62"/>
      <c r="ACL40" s="62"/>
      <c r="ACM40" s="62"/>
      <c r="ACN40" s="62"/>
      <c r="ACO40" s="62"/>
      <c r="ACP40" s="62"/>
      <c r="ACQ40" s="62"/>
      <c r="ACR40" s="62"/>
      <c r="ACS40" s="62"/>
      <c r="ACT40" s="62"/>
      <c r="ACU40" s="62"/>
      <c r="ACV40" s="62"/>
      <c r="ACW40" s="62"/>
      <c r="ACX40" s="62"/>
      <c r="ACY40" s="62"/>
      <c r="ACZ40" s="62"/>
      <c r="ADA40" s="62"/>
      <c r="ADB40" s="62"/>
      <c r="ADC40" s="62"/>
      <c r="ADD40" s="62"/>
      <c r="ADE40" s="62"/>
      <c r="ADF40" s="62"/>
      <c r="ADG40" s="62"/>
      <c r="ADH40" s="62"/>
      <c r="ADI40" s="62"/>
      <c r="ADJ40" s="62"/>
      <c r="ADK40" s="62"/>
      <c r="ADL40" s="62"/>
      <c r="ADM40" s="62"/>
      <c r="ADN40" s="62"/>
      <c r="ADO40" s="62"/>
      <c r="ADP40" s="62"/>
      <c r="ADQ40" s="62"/>
      <c r="ADR40" s="62"/>
      <c r="ADS40" s="62"/>
      <c r="ADT40" s="62"/>
      <c r="ADU40" s="62"/>
      <c r="ADV40" s="62"/>
      <c r="ADW40" s="62"/>
      <c r="ADX40" s="62"/>
      <c r="ADY40" s="62"/>
      <c r="ADZ40" s="62"/>
      <c r="AEA40" s="62"/>
      <c r="AEB40" s="62"/>
      <c r="AEC40" s="62"/>
      <c r="AED40" s="62"/>
      <c r="AEE40" s="62"/>
      <c r="AEF40" s="62"/>
      <c r="AEG40" s="62"/>
      <c r="AEH40" s="62"/>
      <c r="AEI40" s="62"/>
      <c r="AEJ40" s="62"/>
      <c r="AEK40" s="62"/>
      <c r="AEL40" s="62"/>
      <c r="AEM40" s="62"/>
      <c r="AEN40" s="62"/>
      <c r="AEO40" s="62"/>
      <c r="AEP40" s="62"/>
      <c r="AEQ40" s="62"/>
      <c r="AER40" s="62"/>
      <c r="AES40" s="62"/>
      <c r="AET40" s="62"/>
      <c r="AEU40" s="62"/>
      <c r="AEV40" s="62"/>
      <c r="AEW40" s="62"/>
      <c r="AEX40" s="62"/>
      <c r="AEY40" s="62"/>
      <c r="AEZ40" s="62"/>
      <c r="AFA40" s="62"/>
      <c r="AFB40" s="62"/>
      <c r="AFC40" s="62"/>
      <c r="AFD40" s="62"/>
      <c r="AFE40" s="62"/>
      <c r="AFF40" s="62"/>
      <c r="AFG40" s="62"/>
      <c r="AFH40" s="62"/>
      <c r="AFI40" s="62"/>
      <c r="AFJ40" s="62"/>
      <c r="AFK40" s="62"/>
      <c r="AFL40" s="62"/>
      <c r="AFM40" s="62"/>
      <c r="AFN40" s="62"/>
      <c r="AFO40" s="62"/>
      <c r="AFP40" s="62"/>
      <c r="AFQ40" s="62"/>
      <c r="AFR40" s="62"/>
      <c r="AFS40" s="62"/>
      <c r="AFT40" s="62"/>
      <c r="AFU40" s="62"/>
      <c r="AFV40" s="62"/>
      <c r="AFW40" s="62"/>
      <c r="AFX40" s="62"/>
      <c r="AFY40" s="62"/>
      <c r="AFZ40" s="62"/>
      <c r="AGA40" s="62"/>
      <c r="AGB40" s="62"/>
      <c r="AGC40" s="62"/>
      <c r="AGD40" s="62"/>
      <c r="AGE40" s="62"/>
      <c r="AGF40" s="62"/>
      <c r="AGG40" s="62"/>
      <c r="AGH40" s="62"/>
      <c r="AGI40" s="62"/>
      <c r="AGJ40" s="62"/>
      <c r="AGK40" s="62"/>
      <c r="AGL40" s="62"/>
      <c r="AGM40" s="62"/>
      <c r="AGN40" s="62"/>
      <c r="AGO40" s="62"/>
      <c r="AGP40" s="62"/>
      <c r="AGQ40" s="62"/>
      <c r="AGR40" s="62"/>
      <c r="AGS40" s="62"/>
      <c r="AGT40" s="62"/>
      <c r="AGU40" s="62"/>
      <c r="AGV40" s="62"/>
      <c r="AGW40" s="62"/>
      <c r="AGX40" s="62"/>
      <c r="AGY40" s="62"/>
      <c r="AGZ40" s="62"/>
      <c r="AHA40" s="62"/>
      <c r="AHB40" s="62"/>
      <c r="AHC40" s="62"/>
      <c r="AHD40" s="62"/>
      <c r="AHE40" s="62"/>
      <c r="AHF40" s="62"/>
      <c r="AHG40" s="62"/>
      <c r="AHH40" s="62"/>
      <c r="AHI40" s="62"/>
      <c r="AHJ40" s="62"/>
      <c r="AHK40" s="62"/>
      <c r="AHL40" s="62"/>
      <c r="AHM40" s="62"/>
      <c r="AHN40" s="62"/>
      <c r="AHO40" s="62"/>
      <c r="AHP40" s="62"/>
      <c r="AHQ40" s="62"/>
      <c r="AHR40" s="62"/>
      <c r="AHS40" s="62"/>
      <c r="AHT40" s="62"/>
      <c r="AHU40" s="62"/>
      <c r="AHV40" s="62"/>
      <c r="AHW40" s="62"/>
      <c r="AHX40" s="62"/>
      <c r="AHY40" s="62"/>
      <c r="AHZ40" s="62"/>
      <c r="AIA40" s="62"/>
      <c r="AIB40" s="62"/>
      <c r="AIC40" s="62"/>
      <c r="AID40" s="62"/>
      <c r="AIE40" s="62"/>
      <c r="AIF40" s="62"/>
      <c r="AIG40" s="62"/>
      <c r="AIH40" s="62"/>
      <c r="AII40" s="62"/>
      <c r="AIJ40" s="62"/>
      <c r="AIK40" s="62"/>
      <c r="AIL40" s="62"/>
      <c r="AIM40" s="62"/>
      <c r="AIN40" s="62"/>
      <c r="AIO40" s="62"/>
      <c r="AIP40" s="62"/>
      <c r="AIQ40" s="62"/>
      <c r="AIR40" s="62"/>
      <c r="AIS40" s="62"/>
      <c r="AIT40" s="62"/>
      <c r="AIU40" s="62"/>
      <c r="AIV40" s="62"/>
      <c r="AIW40" s="62"/>
      <c r="AIX40" s="62"/>
      <c r="AIY40" s="62"/>
      <c r="AIZ40" s="62"/>
      <c r="AJA40" s="62"/>
      <c r="AJB40" s="62"/>
      <c r="AJC40" s="62"/>
      <c r="AJD40" s="62"/>
      <c r="AJE40" s="62"/>
      <c r="AJF40" s="62"/>
      <c r="AJG40" s="62"/>
      <c r="AJH40" s="62"/>
      <c r="AJI40" s="62"/>
      <c r="AJJ40" s="62"/>
      <c r="AJK40" s="62"/>
      <c r="AJL40" s="62"/>
      <c r="AJM40" s="62"/>
      <c r="AJN40" s="62"/>
      <c r="AJO40" s="62"/>
      <c r="AJP40" s="62"/>
      <c r="AJQ40" s="62"/>
      <c r="AJR40" s="62"/>
      <c r="AJS40" s="62"/>
      <c r="AJT40" s="62"/>
      <c r="AJU40" s="62"/>
      <c r="AJV40" s="62"/>
      <c r="AJW40" s="62"/>
      <c r="AJX40" s="62"/>
      <c r="AJY40" s="62"/>
      <c r="AJZ40" s="62"/>
      <c r="AKA40" s="62"/>
      <c r="AKB40" s="62"/>
      <c r="AKC40" s="62"/>
      <c r="AKD40" s="62"/>
      <c r="AKE40" s="62"/>
      <c r="AKF40" s="62"/>
      <c r="AKG40" s="62"/>
      <c r="AKH40" s="62"/>
      <c r="AKI40" s="62"/>
      <c r="AKJ40" s="62"/>
      <c r="AKK40" s="62"/>
      <c r="AKL40" s="62"/>
      <c r="AKM40" s="62"/>
      <c r="AKN40" s="62"/>
      <c r="AKO40" s="62"/>
      <c r="AKP40" s="62"/>
      <c r="AKQ40" s="62"/>
      <c r="AKR40" s="62"/>
      <c r="AKS40" s="62"/>
      <c r="AKT40" s="62"/>
      <c r="AKU40" s="62"/>
      <c r="AKV40" s="62"/>
      <c r="AKW40" s="62"/>
      <c r="AKX40" s="62"/>
      <c r="AKY40" s="62"/>
      <c r="AKZ40" s="62"/>
      <c r="ALA40" s="62"/>
      <c r="ALB40" s="62"/>
      <c r="ALC40" s="62"/>
      <c r="ALD40" s="62"/>
      <c r="ALE40" s="62"/>
      <c r="ALF40" s="62"/>
      <c r="ALG40" s="62"/>
      <c r="ALH40" s="62"/>
      <c r="ALI40" s="62"/>
      <c r="ALJ40" s="62"/>
      <c r="ALK40" s="62"/>
      <c r="ALL40" s="62"/>
      <c r="ALM40" s="62"/>
      <c r="ALN40" s="62"/>
      <c r="ALO40" s="62"/>
      <c r="ALP40" s="62"/>
      <c r="ALQ40" s="62"/>
      <c r="ALR40" s="62"/>
      <c r="ALS40" s="62"/>
      <c r="ALT40" s="62"/>
      <c r="ALU40" s="62"/>
      <c r="ALV40" s="62"/>
      <c r="ALW40" s="62"/>
      <c r="ALX40" s="62"/>
      <c r="ALY40" s="62"/>
      <c r="ALZ40" s="62"/>
      <c r="AMA40" s="62"/>
      <c r="AMB40" s="62"/>
      <c r="AMC40" s="62"/>
      <c r="AMD40" s="62"/>
      <c r="AME40" s="62"/>
      <c r="AMF40" s="62"/>
      <c r="AMG40" s="62"/>
      <c r="AMH40" s="62"/>
      <c r="AMI40" s="62"/>
      <c r="AMJ40" s="62"/>
    </row>
    <row r="41" spans="1:1024" s="83" customFormat="1" ht="15">
      <c r="A41" s="62"/>
      <c r="B41" s="57"/>
      <c r="C41" s="698" t="s">
        <v>1446</v>
      </c>
      <c r="D41" s="698"/>
      <c r="E41" s="698"/>
      <c r="F41" s="58">
        <f t="shared" si="0"/>
        <v>0</v>
      </c>
      <c r="G41" s="58">
        <f>'2.3.H SAT-TV'!F30</f>
        <v>0</v>
      </c>
      <c r="H41" s="59"/>
      <c r="I41" s="60">
        <f t="shared" si="1"/>
        <v>0</v>
      </c>
      <c r="J41" s="62"/>
      <c r="K41" s="61"/>
      <c r="L41" s="61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  <c r="IR41" s="62"/>
      <c r="IS41" s="62"/>
      <c r="IT41" s="62"/>
      <c r="IU41" s="62"/>
      <c r="IV41" s="62"/>
      <c r="IW41" s="62"/>
      <c r="IX41" s="62"/>
      <c r="IY41" s="62"/>
      <c r="IZ41" s="62"/>
      <c r="JA41" s="62"/>
      <c r="JB41" s="62"/>
      <c r="JC41" s="62"/>
      <c r="JD41" s="62"/>
      <c r="JE41" s="62"/>
      <c r="JF41" s="62"/>
      <c r="JG41" s="62"/>
      <c r="JH41" s="62"/>
      <c r="JI41" s="62"/>
      <c r="JJ41" s="62"/>
      <c r="JK41" s="62"/>
      <c r="JL41" s="62"/>
      <c r="JM41" s="62"/>
      <c r="JN41" s="62"/>
      <c r="JO41" s="62"/>
      <c r="JP41" s="62"/>
      <c r="JQ41" s="62"/>
      <c r="JR41" s="62"/>
      <c r="JS41" s="62"/>
      <c r="JT41" s="62"/>
      <c r="JU41" s="62"/>
      <c r="JV41" s="62"/>
      <c r="JW41" s="62"/>
      <c r="JX41" s="62"/>
      <c r="JY41" s="62"/>
      <c r="JZ41" s="62"/>
      <c r="KA41" s="62"/>
      <c r="KB41" s="62"/>
      <c r="KC41" s="62"/>
      <c r="KD41" s="62"/>
      <c r="KE41" s="62"/>
      <c r="KF41" s="62"/>
      <c r="KG41" s="62"/>
      <c r="KH41" s="62"/>
      <c r="KI41" s="62"/>
      <c r="KJ41" s="62"/>
      <c r="KK41" s="62"/>
      <c r="KL41" s="62"/>
      <c r="KM41" s="62"/>
      <c r="KN41" s="62"/>
      <c r="KO41" s="62"/>
      <c r="KP41" s="62"/>
      <c r="KQ41" s="62"/>
      <c r="KR41" s="62"/>
      <c r="KS41" s="62"/>
      <c r="KT41" s="62"/>
      <c r="KU41" s="62"/>
      <c r="KV41" s="62"/>
      <c r="KW41" s="62"/>
      <c r="KX41" s="62"/>
      <c r="KY41" s="62"/>
      <c r="KZ41" s="62"/>
      <c r="LA41" s="62"/>
      <c r="LB41" s="62"/>
      <c r="LC41" s="62"/>
      <c r="LD41" s="62"/>
      <c r="LE41" s="62"/>
      <c r="LF41" s="62"/>
      <c r="LG41" s="62"/>
      <c r="LH41" s="62"/>
      <c r="LI41" s="62"/>
      <c r="LJ41" s="62"/>
      <c r="LK41" s="62"/>
      <c r="LL41" s="62"/>
      <c r="LM41" s="62"/>
      <c r="LN41" s="62"/>
      <c r="LO41" s="62"/>
      <c r="LP41" s="62"/>
      <c r="LQ41" s="62"/>
      <c r="LR41" s="62"/>
      <c r="LS41" s="62"/>
      <c r="LT41" s="62"/>
      <c r="LU41" s="62"/>
      <c r="LV41" s="62"/>
      <c r="LW41" s="62"/>
      <c r="LX41" s="62"/>
      <c r="LY41" s="62"/>
      <c r="LZ41" s="62"/>
      <c r="MA41" s="62"/>
      <c r="MB41" s="62"/>
      <c r="MC41" s="62"/>
      <c r="MD41" s="62"/>
      <c r="ME41" s="62"/>
      <c r="MF41" s="62"/>
      <c r="MG41" s="62"/>
      <c r="MH41" s="62"/>
      <c r="MI41" s="62"/>
      <c r="MJ41" s="62"/>
      <c r="MK41" s="62"/>
      <c r="ML41" s="62"/>
      <c r="MM41" s="62"/>
      <c r="MN41" s="62"/>
      <c r="MO41" s="62"/>
      <c r="MP41" s="62"/>
      <c r="MQ41" s="62"/>
      <c r="MR41" s="62"/>
      <c r="MS41" s="62"/>
      <c r="MT41" s="62"/>
      <c r="MU41" s="62"/>
      <c r="MV41" s="62"/>
      <c r="MW41" s="62"/>
      <c r="MX41" s="62"/>
      <c r="MY41" s="62"/>
      <c r="MZ41" s="62"/>
      <c r="NA41" s="62"/>
      <c r="NB41" s="62"/>
      <c r="NC41" s="62"/>
      <c r="ND41" s="62"/>
      <c r="NE41" s="62"/>
      <c r="NF41" s="62"/>
      <c r="NG41" s="62"/>
      <c r="NH41" s="62"/>
      <c r="NI41" s="62"/>
      <c r="NJ41" s="62"/>
      <c r="NK41" s="62"/>
      <c r="NL41" s="62"/>
      <c r="NM41" s="62"/>
      <c r="NN41" s="62"/>
      <c r="NO41" s="62"/>
      <c r="NP41" s="62"/>
      <c r="NQ41" s="62"/>
      <c r="NR41" s="62"/>
      <c r="NS41" s="62"/>
      <c r="NT41" s="62"/>
      <c r="NU41" s="62"/>
      <c r="NV41" s="62"/>
      <c r="NW41" s="62"/>
      <c r="NX41" s="62"/>
      <c r="NY41" s="62"/>
      <c r="NZ41" s="62"/>
      <c r="OA41" s="62"/>
      <c r="OB41" s="62"/>
      <c r="OC41" s="62"/>
      <c r="OD41" s="62"/>
      <c r="OE41" s="62"/>
      <c r="OF41" s="62"/>
      <c r="OG41" s="62"/>
      <c r="OH41" s="62"/>
      <c r="OI41" s="62"/>
      <c r="OJ41" s="62"/>
      <c r="OK41" s="62"/>
      <c r="OL41" s="62"/>
      <c r="OM41" s="62"/>
      <c r="ON41" s="62"/>
      <c r="OO41" s="62"/>
      <c r="OP41" s="62"/>
      <c r="OQ41" s="62"/>
      <c r="OR41" s="62"/>
      <c r="OS41" s="62"/>
      <c r="OT41" s="62"/>
      <c r="OU41" s="62"/>
      <c r="OV41" s="62"/>
      <c r="OW41" s="62"/>
      <c r="OX41" s="62"/>
      <c r="OY41" s="62"/>
      <c r="OZ41" s="62"/>
      <c r="PA41" s="62"/>
      <c r="PB41" s="62"/>
      <c r="PC41" s="62"/>
      <c r="PD41" s="62"/>
      <c r="PE41" s="62"/>
      <c r="PF41" s="62"/>
      <c r="PG41" s="62"/>
      <c r="PH41" s="62"/>
      <c r="PI41" s="62"/>
      <c r="PJ41" s="62"/>
      <c r="PK41" s="62"/>
      <c r="PL41" s="62"/>
      <c r="PM41" s="62"/>
      <c r="PN41" s="62"/>
      <c r="PO41" s="62"/>
      <c r="PP41" s="62"/>
      <c r="PQ41" s="62"/>
      <c r="PR41" s="62"/>
      <c r="PS41" s="62"/>
      <c r="PT41" s="62"/>
      <c r="PU41" s="62"/>
      <c r="PV41" s="62"/>
      <c r="PW41" s="62"/>
      <c r="PX41" s="62"/>
      <c r="PY41" s="62"/>
      <c r="PZ41" s="62"/>
      <c r="QA41" s="62"/>
      <c r="QB41" s="62"/>
      <c r="QC41" s="62"/>
      <c r="QD41" s="62"/>
      <c r="QE41" s="62"/>
      <c r="QF41" s="62"/>
      <c r="QG41" s="62"/>
      <c r="QH41" s="62"/>
      <c r="QI41" s="62"/>
      <c r="QJ41" s="62"/>
      <c r="QK41" s="62"/>
      <c r="QL41" s="62"/>
      <c r="QM41" s="62"/>
      <c r="QN41" s="62"/>
      <c r="QO41" s="62"/>
      <c r="QP41" s="62"/>
      <c r="QQ41" s="62"/>
      <c r="QR41" s="62"/>
      <c r="QS41" s="62"/>
      <c r="QT41" s="62"/>
      <c r="QU41" s="62"/>
      <c r="QV41" s="62"/>
      <c r="QW41" s="62"/>
      <c r="QX41" s="62"/>
      <c r="QY41" s="62"/>
      <c r="QZ41" s="62"/>
      <c r="RA41" s="62"/>
      <c r="RB41" s="62"/>
      <c r="RC41" s="62"/>
      <c r="RD41" s="62"/>
      <c r="RE41" s="62"/>
      <c r="RF41" s="62"/>
      <c r="RG41" s="62"/>
      <c r="RH41" s="62"/>
      <c r="RI41" s="62"/>
      <c r="RJ41" s="62"/>
      <c r="RK41" s="62"/>
      <c r="RL41" s="62"/>
      <c r="RM41" s="62"/>
      <c r="RN41" s="62"/>
      <c r="RO41" s="62"/>
      <c r="RP41" s="62"/>
      <c r="RQ41" s="62"/>
      <c r="RR41" s="62"/>
      <c r="RS41" s="62"/>
      <c r="RT41" s="62"/>
      <c r="RU41" s="62"/>
      <c r="RV41" s="62"/>
      <c r="RW41" s="62"/>
      <c r="RX41" s="62"/>
      <c r="RY41" s="62"/>
      <c r="RZ41" s="62"/>
      <c r="SA41" s="62"/>
      <c r="SB41" s="62"/>
      <c r="SC41" s="62"/>
      <c r="SD41" s="62"/>
      <c r="SE41" s="62"/>
      <c r="SF41" s="62"/>
      <c r="SG41" s="62"/>
      <c r="SH41" s="62"/>
      <c r="SI41" s="62"/>
      <c r="SJ41" s="62"/>
      <c r="SK41" s="62"/>
      <c r="SL41" s="62"/>
      <c r="SM41" s="62"/>
      <c r="SN41" s="62"/>
      <c r="SO41" s="62"/>
      <c r="SP41" s="62"/>
      <c r="SQ41" s="62"/>
      <c r="SR41" s="62"/>
      <c r="SS41" s="62"/>
      <c r="ST41" s="62"/>
      <c r="SU41" s="62"/>
      <c r="SV41" s="62"/>
      <c r="SW41" s="62"/>
      <c r="SX41" s="62"/>
      <c r="SY41" s="62"/>
      <c r="SZ41" s="62"/>
      <c r="TA41" s="62"/>
      <c r="TB41" s="62"/>
      <c r="TC41" s="62"/>
      <c r="TD41" s="62"/>
      <c r="TE41" s="62"/>
      <c r="TF41" s="62"/>
      <c r="TG41" s="62"/>
      <c r="TH41" s="62"/>
      <c r="TI41" s="62"/>
      <c r="TJ41" s="62"/>
      <c r="TK41" s="62"/>
      <c r="TL41" s="62"/>
      <c r="TM41" s="62"/>
      <c r="TN41" s="62"/>
      <c r="TO41" s="62"/>
      <c r="TP41" s="62"/>
      <c r="TQ41" s="62"/>
      <c r="TR41" s="62"/>
      <c r="TS41" s="62"/>
      <c r="TT41" s="62"/>
      <c r="TU41" s="62"/>
      <c r="TV41" s="62"/>
      <c r="TW41" s="62"/>
      <c r="TX41" s="62"/>
      <c r="TY41" s="62"/>
      <c r="TZ41" s="62"/>
      <c r="UA41" s="62"/>
      <c r="UB41" s="62"/>
      <c r="UC41" s="62"/>
      <c r="UD41" s="62"/>
      <c r="UE41" s="62"/>
      <c r="UF41" s="62"/>
      <c r="UG41" s="62"/>
      <c r="UH41" s="62"/>
      <c r="UI41" s="62"/>
      <c r="UJ41" s="62"/>
      <c r="UK41" s="62"/>
      <c r="UL41" s="62"/>
      <c r="UM41" s="62"/>
      <c r="UN41" s="62"/>
      <c r="UO41" s="62"/>
      <c r="UP41" s="62"/>
      <c r="UQ41" s="62"/>
      <c r="UR41" s="62"/>
      <c r="US41" s="62"/>
      <c r="UT41" s="62"/>
      <c r="UU41" s="62"/>
      <c r="UV41" s="62"/>
      <c r="UW41" s="62"/>
      <c r="UX41" s="62"/>
      <c r="UY41" s="62"/>
      <c r="UZ41" s="62"/>
      <c r="VA41" s="62"/>
      <c r="VB41" s="62"/>
      <c r="VC41" s="62"/>
      <c r="VD41" s="62"/>
      <c r="VE41" s="62"/>
      <c r="VF41" s="62"/>
      <c r="VG41" s="62"/>
      <c r="VH41" s="62"/>
      <c r="VI41" s="62"/>
      <c r="VJ41" s="62"/>
      <c r="VK41" s="62"/>
      <c r="VL41" s="62"/>
      <c r="VM41" s="62"/>
      <c r="VN41" s="62"/>
      <c r="VO41" s="62"/>
      <c r="VP41" s="62"/>
      <c r="VQ41" s="62"/>
      <c r="VR41" s="62"/>
      <c r="VS41" s="62"/>
      <c r="VT41" s="62"/>
      <c r="VU41" s="62"/>
      <c r="VV41" s="62"/>
      <c r="VW41" s="62"/>
      <c r="VX41" s="62"/>
      <c r="VY41" s="62"/>
      <c r="VZ41" s="62"/>
      <c r="WA41" s="62"/>
      <c r="WB41" s="62"/>
      <c r="WC41" s="62"/>
      <c r="WD41" s="62"/>
      <c r="WE41" s="62"/>
      <c r="WF41" s="62"/>
      <c r="WG41" s="62"/>
      <c r="WH41" s="62"/>
      <c r="WI41" s="62"/>
      <c r="WJ41" s="62"/>
      <c r="WK41" s="62"/>
      <c r="WL41" s="62"/>
      <c r="WM41" s="62"/>
      <c r="WN41" s="62"/>
      <c r="WO41" s="62"/>
      <c r="WP41" s="62"/>
      <c r="WQ41" s="62"/>
      <c r="WR41" s="62"/>
      <c r="WS41" s="62"/>
      <c r="WT41" s="62"/>
      <c r="WU41" s="62"/>
      <c r="WV41" s="62"/>
      <c r="WW41" s="62"/>
      <c r="WX41" s="62"/>
      <c r="WY41" s="62"/>
      <c r="WZ41" s="62"/>
      <c r="XA41" s="62"/>
      <c r="XB41" s="62"/>
      <c r="XC41" s="62"/>
      <c r="XD41" s="62"/>
      <c r="XE41" s="62"/>
      <c r="XF41" s="62"/>
      <c r="XG41" s="62"/>
      <c r="XH41" s="62"/>
      <c r="XI41" s="62"/>
      <c r="XJ41" s="62"/>
      <c r="XK41" s="62"/>
      <c r="XL41" s="62"/>
      <c r="XM41" s="62"/>
      <c r="XN41" s="62"/>
      <c r="XO41" s="62"/>
      <c r="XP41" s="62"/>
      <c r="XQ41" s="62"/>
      <c r="XR41" s="62"/>
      <c r="XS41" s="62"/>
      <c r="XT41" s="62"/>
      <c r="XU41" s="62"/>
      <c r="XV41" s="62"/>
      <c r="XW41" s="62"/>
      <c r="XX41" s="62"/>
      <c r="XY41" s="62"/>
      <c r="XZ41" s="62"/>
      <c r="YA41" s="62"/>
      <c r="YB41" s="62"/>
      <c r="YC41" s="62"/>
      <c r="YD41" s="62"/>
      <c r="YE41" s="62"/>
      <c r="YF41" s="62"/>
      <c r="YG41" s="62"/>
      <c r="YH41" s="62"/>
      <c r="YI41" s="62"/>
      <c r="YJ41" s="62"/>
      <c r="YK41" s="62"/>
      <c r="YL41" s="62"/>
      <c r="YM41" s="62"/>
      <c r="YN41" s="62"/>
      <c r="YO41" s="62"/>
      <c r="YP41" s="62"/>
      <c r="YQ41" s="62"/>
      <c r="YR41" s="62"/>
      <c r="YS41" s="62"/>
      <c r="YT41" s="62"/>
      <c r="YU41" s="62"/>
      <c r="YV41" s="62"/>
      <c r="YW41" s="62"/>
      <c r="YX41" s="62"/>
      <c r="YY41" s="62"/>
      <c r="YZ41" s="62"/>
      <c r="ZA41" s="62"/>
      <c r="ZB41" s="62"/>
      <c r="ZC41" s="62"/>
      <c r="ZD41" s="62"/>
      <c r="ZE41" s="62"/>
      <c r="ZF41" s="62"/>
      <c r="ZG41" s="62"/>
      <c r="ZH41" s="62"/>
      <c r="ZI41" s="62"/>
      <c r="ZJ41" s="62"/>
      <c r="ZK41" s="62"/>
      <c r="ZL41" s="62"/>
      <c r="ZM41" s="62"/>
      <c r="ZN41" s="62"/>
      <c r="ZO41" s="62"/>
      <c r="ZP41" s="62"/>
      <c r="ZQ41" s="62"/>
      <c r="ZR41" s="62"/>
      <c r="ZS41" s="62"/>
      <c r="ZT41" s="62"/>
      <c r="ZU41" s="62"/>
      <c r="ZV41" s="62"/>
      <c r="ZW41" s="62"/>
      <c r="ZX41" s="62"/>
      <c r="ZY41" s="62"/>
      <c r="ZZ41" s="62"/>
      <c r="AAA41" s="62"/>
      <c r="AAB41" s="62"/>
      <c r="AAC41" s="62"/>
      <c r="AAD41" s="62"/>
      <c r="AAE41" s="62"/>
      <c r="AAF41" s="62"/>
      <c r="AAG41" s="62"/>
      <c r="AAH41" s="62"/>
      <c r="AAI41" s="62"/>
      <c r="AAJ41" s="62"/>
      <c r="AAK41" s="62"/>
      <c r="AAL41" s="62"/>
      <c r="AAM41" s="62"/>
      <c r="AAN41" s="62"/>
      <c r="AAO41" s="62"/>
      <c r="AAP41" s="62"/>
      <c r="AAQ41" s="62"/>
      <c r="AAR41" s="62"/>
      <c r="AAS41" s="62"/>
      <c r="AAT41" s="62"/>
      <c r="AAU41" s="62"/>
      <c r="AAV41" s="62"/>
      <c r="AAW41" s="62"/>
      <c r="AAX41" s="62"/>
      <c r="AAY41" s="62"/>
      <c r="AAZ41" s="62"/>
      <c r="ABA41" s="62"/>
      <c r="ABB41" s="62"/>
      <c r="ABC41" s="62"/>
      <c r="ABD41" s="62"/>
      <c r="ABE41" s="62"/>
      <c r="ABF41" s="62"/>
      <c r="ABG41" s="62"/>
      <c r="ABH41" s="62"/>
      <c r="ABI41" s="62"/>
      <c r="ABJ41" s="62"/>
      <c r="ABK41" s="62"/>
      <c r="ABL41" s="62"/>
      <c r="ABM41" s="62"/>
      <c r="ABN41" s="62"/>
      <c r="ABO41" s="62"/>
      <c r="ABP41" s="62"/>
      <c r="ABQ41" s="62"/>
      <c r="ABR41" s="62"/>
      <c r="ABS41" s="62"/>
      <c r="ABT41" s="62"/>
      <c r="ABU41" s="62"/>
      <c r="ABV41" s="62"/>
      <c r="ABW41" s="62"/>
      <c r="ABX41" s="62"/>
      <c r="ABY41" s="62"/>
      <c r="ABZ41" s="62"/>
      <c r="ACA41" s="62"/>
      <c r="ACB41" s="62"/>
      <c r="ACC41" s="62"/>
      <c r="ACD41" s="62"/>
      <c r="ACE41" s="62"/>
      <c r="ACF41" s="62"/>
      <c r="ACG41" s="62"/>
      <c r="ACH41" s="62"/>
      <c r="ACI41" s="62"/>
      <c r="ACJ41" s="62"/>
      <c r="ACK41" s="62"/>
      <c r="ACL41" s="62"/>
      <c r="ACM41" s="62"/>
      <c r="ACN41" s="62"/>
      <c r="ACO41" s="62"/>
      <c r="ACP41" s="62"/>
      <c r="ACQ41" s="62"/>
      <c r="ACR41" s="62"/>
      <c r="ACS41" s="62"/>
      <c r="ACT41" s="62"/>
      <c r="ACU41" s="62"/>
      <c r="ACV41" s="62"/>
      <c r="ACW41" s="62"/>
      <c r="ACX41" s="62"/>
      <c r="ACY41" s="62"/>
      <c r="ACZ41" s="62"/>
      <c r="ADA41" s="62"/>
      <c r="ADB41" s="62"/>
      <c r="ADC41" s="62"/>
      <c r="ADD41" s="62"/>
      <c r="ADE41" s="62"/>
      <c r="ADF41" s="62"/>
      <c r="ADG41" s="62"/>
      <c r="ADH41" s="62"/>
      <c r="ADI41" s="62"/>
      <c r="ADJ41" s="62"/>
      <c r="ADK41" s="62"/>
      <c r="ADL41" s="62"/>
      <c r="ADM41" s="62"/>
      <c r="ADN41" s="62"/>
      <c r="ADO41" s="62"/>
      <c r="ADP41" s="62"/>
      <c r="ADQ41" s="62"/>
      <c r="ADR41" s="62"/>
      <c r="ADS41" s="62"/>
      <c r="ADT41" s="62"/>
      <c r="ADU41" s="62"/>
      <c r="ADV41" s="62"/>
      <c r="ADW41" s="62"/>
      <c r="ADX41" s="62"/>
      <c r="ADY41" s="62"/>
      <c r="ADZ41" s="62"/>
      <c r="AEA41" s="62"/>
      <c r="AEB41" s="62"/>
      <c r="AEC41" s="62"/>
      <c r="AED41" s="62"/>
      <c r="AEE41" s="62"/>
      <c r="AEF41" s="62"/>
      <c r="AEG41" s="62"/>
      <c r="AEH41" s="62"/>
      <c r="AEI41" s="62"/>
      <c r="AEJ41" s="62"/>
      <c r="AEK41" s="62"/>
      <c r="AEL41" s="62"/>
      <c r="AEM41" s="62"/>
      <c r="AEN41" s="62"/>
      <c r="AEO41" s="62"/>
      <c r="AEP41" s="62"/>
      <c r="AEQ41" s="62"/>
      <c r="AER41" s="62"/>
      <c r="AES41" s="62"/>
      <c r="AET41" s="62"/>
      <c r="AEU41" s="62"/>
      <c r="AEV41" s="62"/>
      <c r="AEW41" s="62"/>
      <c r="AEX41" s="62"/>
      <c r="AEY41" s="62"/>
      <c r="AEZ41" s="62"/>
      <c r="AFA41" s="62"/>
      <c r="AFB41" s="62"/>
      <c r="AFC41" s="62"/>
      <c r="AFD41" s="62"/>
      <c r="AFE41" s="62"/>
      <c r="AFF41" s="62"/>
      <c r="AFG41" s="62"/>
      <c r="AFH41" s="62"/>
      <c r="AFI41" s="62"/>
      <c r="AFJ41" s="62"/>
      <c r="AFK41" s="62"/>
      <c r="AFL41" s="62"/>
      <c r="AFM41" s="62"/>
      <c r="AFN41" s="62"/>
      <c r="AFO41" s="62"/>
      <c r="AFP41" s="62"/>
      <c r="AFQ41" s="62"/>
      <c r="AFR41" s="62"/>
      <c r="AFS41" s="62"/>
      <c r="AFT41" s="62"/>
      <c r="AFU41" s="62"/>
      <c r="AFV41" s="62"/>
      <c r="AFW41" s="62"/>
      <c r="AFX41" s="62"/>
      <c r="AFY41" s="62"/>
      <c r="AFZ41" s="62"/>
      <c r="AGA41" s="62"/>
      <c r="AGB41" s="62"/>
      <c r="AGC41" s="62"/>
      <c r="AGD41" s="62"/>
      <c r="AGE41" s="62"/>
      <c r="AGF41" s="62"/>
      <c r="AGG41" s="62"/>
      <c r="AGH41" s="62"/>
      <c r="AGI41" s="62"/>
      <c r="AGJ41" s="62"/>
      <c r="AGK41" s="62"/>
      <c r="AGL41" s="62"/>
      <c r="AGM41" s="62"/>
      <c r="AGN41" s="62"/>
      <c r="AGO41" s="62"/>
      <c r="AGP41" s="62"/>
      <c r="AGQ41" s="62"/>
      <c r="AGR41" s="62"/>
      <c r="AGS41" s="62"/>
      <c r="AGT41" s="62"/>
      <c r="AGU41" s="62"/>
      <c r="AGV41" s="62"/>
      <c r="AGW41" s="62"/>
      <c r="AGX41" s="62"/>
      <c r="AGY41" s="62"/>
      <c r="AGZ41" s="62"/>
      <c r="AHA41" s="62"/>
      <c r="AHB41" s="62"/>
      <c r="AHC41" s="62"/>
      <c r="AHD41" s="62"/>
      <c r="AHE41" s="62"/>
      <c r="AHF41" s="62"/>
      <c r="AHG41" s="62"/>
      <c r="AHH41" s="62"/>
      <c r="AHI41" s="62"/>
      <c r="AHJ41" s="62"/>
      <c r="AHK41" s="62"/>
      <c r="AHL41" s="62"/>
      <c r="AHM41" s="62"/>
      <c r="AHN41" s="62"/>
      <c r="AHO41" s="62"/>
      <c r="AHP41" s="62"/>
      <c r="AHQ41" s="62"/>
      <c r="AHR41" s="62"/>
      <c r="AHS41" s="62"/>
      <c r="AHT41" s="62"/>
      <c r="AHU41" s="62"/>
      <c r="AHV41" s="62"/>
      <c r="AHW41" s="62"/>
      <c r="AHX41" s="62"/>
      <c r="AHY41" s="62"/>
      <c r="AHZ41" s="62"/>
      <c r="AIA41" s="62"/>
      <c r="AIB41" s="62"/>
      <c r="AIC41" s="62"/>
      <c r="AID41" s="62"/>
      <c r="AIE41" s="62"/>
      <c r="AIF41" s="62"/>
      <c r="AIG41" s="62"/>
      <c r="AIH41" s="62"/>
      <c r="AII41" s="62"/>
      <c r="AIJ41" s="62"/>
      <c r="AIK41" s="62"/>
      <c r="AIL41" s="62"/>
      <c r="AIM41" s="62"/>
      <c r="AIN41" s="62"/>
      <c r="AIO41" s="62"/>
      <c r="AIP41" s="62"/>
      <c r="AIQ41" s="62"/>
      <c r="AIR41" s="62"/>
      <c r="AIS41" s="62"/>
      <c r="AIT41" s="62"/>
      <c r="AIU41" s="62"/>
      <c r="AIV41" s="62"/>
      <c r="AIW41" s="62"/>
      <c r="AIX41" s="62"/>
      <c r="AIY41" s="62"/>
      <c r="AIZ41" s="62"/>
      <c r="AJA41" s="62"/>
      <c r="AJB41" s="62"/>
      <c r="AJC41" s="62"/>
      <c r="AJD41" s="62"/>
      <c r="AJE41" s="62"/>
      <c r="AJF41" s="62"/>
      <c r="AJG41" s="62"/>
      <c r="AJH41" s="62"/>
      <c r="AJI41" s="62"/>
      <c r="AJJ41" s="62"/>
      <c r="AJK41" s="62"/>
      <c r="AJL41" s="62"/>
      <c r="AJM41" s="62"/>
      <c r="AJN41" s="62"/>
      <c r="AJO41" s="62"/>
      <c r="AJP41" s="62"/>
      <c r="AJQ41" s="62"/>
      <c r="AJR41" s="62"/>
      <c r="AJS41" s="62"/>
      <c r="AJT41" s="62"/>
      <c r="AJU41" s="62"/>
      <c r="AJV41" s="62"/>
      <c r="AJW41" s="62"/>
      <c r="AJX41" s="62"/>
      <c r="AJY41" s="62"/>
      <c r="AJZ41" s="62"/>
      <c r="AKA41" s="62"/>
      <c r="AKB41" s="62"/>
      <c r="AKC41" s="62"/>
      <c r="AKD41" s="62"/>
      <c r="AKE41" s="62"/>
      <c r="AKF41" s="62"/>
      <c r="AKG41" s="62"/>
      <c r="AKH41" s="62"/>
      <c r="AKI41" s="62"/>
      <c r="AKJ41" s="62"/>
      <c r="AKK41" s="62"/>
      <c r="AKL41" s="62"/>
      <c r="AKM41" s="62"/>
      <c r="AKN41" s="62"/>
      <c r="AKO41" s="62"/>
      <c r="AKP41" s="62"/>
      <c r="AKQ41" s="62"/>
      <c r="AKR41" s="62"/>
      <c r="AKS41" s="62"/>
      <c r="AKT41" s="62"/>
      <c r="AKU41" s="62"/>
      <c r="AKV41" s="62"/>
      <c r="AKW41" s="62"/>
      <c r="AKX41" s="62"/>
      <c r="AKY41" s="62"/>
      <c r="AKZ41" s="62"/>
      <c r="ALA41" s="62"/>
      <c r="ALB41" s="62"/>
      <c r="ALC41" s="62"/>
      <c r="ALD41" s="62"/>
      <c r="ALE41" s="62"/>
      <c r="ALF41" s="62"/>
      <c r="ALG41" s="62"/>
      <c r="ALH41" s="62"/>
      <c r="ALI41" s="62"/>
      <c r="ALJ41" s="62"/>
      <c r="ALK41" s="62"/>
      <c r="ALL41" s="62"/>
      <c r="ALM41" s="62"/>
      <c r="ALN41" s="62"/>
      <c r="ALO41" s="62"/>
      <c r="ALP41" s="62"/>
      <c r="ALQ41" s="62"/>
      <c r="ALR41" s="62"/>
      <c r="ALS41" s="62"/>
      <c r="ALT41" s="62"/>
      <c r="ALU41" s="62"/>
      <c r="ALV41" s="62"/>
      <c r="ALW41" s="62"/>
      <c r="ALX41" s="62"/>
      <c r="ALY41" s="62"/>
      <c r="ALZ41" s="62"/>
      <c r="AMA41" s="62"/>
      <c r="AMB41" s="62"/>
      <c r="AMC41" s="62"/>
      <c r="AMD41" s="62"/>
      <c r="AME41" s="62"/>
      <c r="AMF41" s="62"/>
      <c r="AMG41" s="62"/>
      <c r="AMH41" s="62"/>
      <c r="AMI41" s="62"/>
      <c r="AMJ41" s="62"/>
    </row>
    <row r="42" spans="1:1024" s="83" customFormat="1" ht="15">
      <c r="A42" s="62"/>
      <c r="B42" s="57"/>
      <c r="C42" s="698" t="s">
        <v>1447</v>
      </c>
      <c r="D42" s="698"/>
      <c r="E42" s="698"/>
      <c r="F42" s="58">
        <f aca="true" t="shared" si="12" ref="F42">G42+H42+I42</f>
        <v>0</v>
      </c>
      <c r="G42" s="58">
        <f>'2.3.M SAT-TV'!F15</f>
        <v>0</v>
      </c>
      <c r="H42" s="59"/>
      <c r="I42" s="60">
        <f aca="true" t="shared" si="13" ref="I42">(G42*SazbaDPH1)/100+(H42*SazbaDPH2)/100</f>
        <v>0</v>
      </c>
      <c r="J42" s="62"/>
      <c r="K42" s="61"/>
      <c r="L42" s="61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  <c r="IR42" s="62"/>
      <c r="IS42" s="62"/>
      <c r="IT42" s="62"/>
      <c r="IU42" s="62"/>
      <c r="IV42" s="62"/>
      <c r="IW42" s="62"/>
      <c r="IX42" s="62"/>
      <c r="IY42" s="62"/>
      <c r="IZ42" s="62"/>
      <c r="JA42" s="62"/>
      <c r="JB42" s="62"/>
      <c r="JC42" s="62"/>
      <c r="JD42" s="62"/>
      <c r="JE42" s="62"/>
      <c r="JF42" s="62"/>
      <c r="JG42" s="62"/>
      <c r="JH42" s="62"/>
      <c r="JI42" s="62"/>
      <c r="JJ42" s="62"/>
      <c r="JK42" s="62"/>
      <c r="JL42" s="62"/>
      <c r="JM42" s="62"/>
      <c r="JN42" s="62"/>
      <c r="JO42" s="62"/>
      <c r="JP42" s="62"/>
      <c r="JQ42" s="62"/>
      <c r="JR42" s="62"/>
      <c r="JS42" s="62"/>
      <c r="JT42" s="62"/>
      <c r="JU42" s="62"/>
      <c r="JV42" s="62"/>
      <c r="JW42" s="62"/>
      <c r="JX42" s="62"/>
      <c r="JY42" s="62"/>
      <c r="JZ42" s="62"/>
      <c r="KA42" s="62"/>
      <c r="KB42" s="62"/>
      <c r="KC42" s="62"/>
      <c r="KD42" s="62"/>
      <c r="KE42" s="62"/>
      <c r="KF42" s="62"/>
      <c r="KG42" s="62"/>
      <c r="KH42" s="62"/>
      <c r="KI42" s="62"/>
      <c r="KJ42" s="62"/>
      <c r="KK42" s="62"/>
      <c r="KL42" s="62"/>
      <c r="KM42" s="62"/>
      <c r="KN42" s="62"/>
      <c r="KO42" s="62"/>
      <c r="KP42" s="62"/>
      <c r="KQ42" s="62"/>
      <c r="KR42" s="62"/>
      <c r="KS42" s="62"/>
      <c r="KT42" s="62"/>
      <c r="KU42" s="62"/>
      <c r="KV42" s="62"/>
      <c r="KW42" s="62"/>
      <c r="KX42" s="62"/>
      <c r="KY42" s="62"/>
      <c r="KZ42" s="62"/>
      <c r="LA42" s="62"/>
      <c r="LB42" s="62"/>
      <c r="LC42" s="62"/>
      <c r="LD42" s="62"/>
      <c r="LE42" s="62"/>
      <c r="LF42" s="62"/>
      <c r="LG42" s="62"/>
      <c r="LH42" s="62"/>
      <c r="LI42" s="62"/>
      <c r="LJ42" s="62"/>
      <c r="LK42" s="62"/>
      <c r="LL42" s="62"/>
      <c r="LM42" s="62"/>
      <c r="LN42" s="62"/>
      <c r="LO42" s="62"/>
      <c r="LP42" s="62"/>
      <c r="LQ42" s="62"/>
      <c r="LR42" s="62"/>
      <c r="LS42" s="62"/>
      <c r="LT42" s="62"/>
      <c r="LU42" s="62"/>
      <c r="LV42" s="62"/>
      <c r="LW42" s="62"/>
      <c r="LX42" s="62"/>
      <c r="LY42" s="62"/>
      <c r="LZ42" s="62"/>
      <c r="MA42" s="62"/>
      <c r="MB42" s="62"/>
      <c r="MC42" s="62"/>
      <c r="MD42" s="62"/>
      <c r="ME42" s="62"/>
      <c r="MF42" s="62"/>
      <c r="MG42" s="62"/>
      <c r="MH42" s="62"/>
      <c r="MI42" s="62"/>
      <c r="MJ42" s="62"/>
      <c r="MK42" s="62"/>
      <c r="ML42" s="62"/>
      <c r="MM42" s="62"/>
      <c r="MN42" s="62"/>
      <c r="MO42" s="62"/>
      <c r="MP42" s="62"/>
      <c r="MQ42" s="62"/>
      <c r="MR42" s="62"/>
      <c r="MS42" s="62"/>
      <c r="MT42" s="62"/>
      <c r="MU42" s="62"/>
      <c r="MV42" s="62"/>
      <c r="MW42" s="62"/>
      <c r="MX42" s="62"/>
      <c r="MY42" s="62"/>
      <c r="MZ42" s="62"/>
      <c r="NA42" s="62"/>
      <c r="NB42" s="62"/>
      <c r="NC42" s="62"/>
      <c r="ND42" s="62"/>
      <c r="NE42" s="62"/>
      <c r="NF42" s="62"/>
      <c r="NG42" s="62"/>
      <c r="NH42" s="62"/>
      <c r="NI42" s="62"/>
      <c r="NJ42" s="62"/>
      <c r="NK42" s="62"/>
      <c r="NL42" s="62"/>
      <c r="NM42" s="62"/>
      <c r="NN42" s="62"/>
      <c r="NO42" s="62"/>
      <c r="NP42" s="62"/>
      <c r="NQ42" s="62"/>
      <c r="NR42" s="62"/>
      <c r="NS42" s="62"/>
      <c r="NT42" s="62"/>
      <c r="NU42" s="62"/>
      <c r="NV42" s="62"/>
      <c r="NW42" s="62"/>
      <c r="NX42" s="62"/>
      <c r="NY42" s="62"/>
      <c r="NZ42" s="62"/>
      <c r="OA42" s="62"/>
      <c r="OB42" s="62"/>
      <c r="OC42" s="62"/>
      <c r="OD42" s="62"/>
      <c r="OE42" s="62"/>
      <c r="OF42" s="62"/>
      <c r="OG42" s="62"/>
      <c r="OH42" s="62"/>
      <c r="OI42" s="62"/>
      <c r="OJ42" s="62"/>
      <c r="OK42" s="62"/>
      <c r="OL42" s="62"/>
      <c r="OM42" s="62"/>
      <c r="ON42" s="62"/>
      <c r="OO42" s="62"/>
      <c r="OP42" s="62"/>
      <c r="OQ42" s="62"/>
      <c r="OR42" s="62"/>
      <c r="OS42" s="62"/>
      <c r="OT42" s="62"/>
      <c r="OU42" s="62"/>
      <c r="OV42" s="62"/>
      <c r="OW42" s="62"/>
      <c r="OX42" s="62"/>
      <c r="OY42" s="62"/>
      <c r="OZ42" s="62"/>
      <c r="PA42" s="62"/>
      <c r="PB42" s="62"/>
      <c r="PC42" s="62"/>
      <c r="PD42" s="62"/>
      <c r="PE42" s="62"/>
      <c r="PF42" s="62"/>
      <c r="PG42" s="62"/>
      <c r="PH42" s="62"/>
      <c r="PI42" s="62"/>
      <c r="PJ42" s="62"/>
      <c r="PK42" s="62"/>
      <c r="PL42" s="62"/>
      <c r="PM42" s="62"/>
      <c r="PN42" s="62"/>
      <c r="PO42" s="62"/>
      <c r="PP42" s="62"/>
      <c r="PQ42" s="62"/>
      <c r="PR42" s="62"/>
      <c r="PS42" s="62"/>
      <c r="PT42" s="62"/>
      <c r="PU42" s="62"/>
      <c r="PV42" s="62"/>
      <c r="PW42" s="62"/>
      <c r="PX42" s="62"/>
      <c r="PY42" s="62"/>
      <c r="PZ42" s="62"/>
      <c r="QA42" s="62"/>
      <c r="QB42" s="62"/>
      <c r="QC42" s="62"/>
      <c r="QD42" s="62"/>
      <c r="QE42" s="62"/>
      <c r="QF42" s="62"/>
      <c r="QG42" s="62"/>
      <c r="QH42" s="62"/>
      <c r="QI42" s="62"/>
      <c r="QJ42" s="62"/>
      <c r="QK42" s="62"/>
      <c r="QL42" s="62"/>
      <c r="QM42" s="62"/>
      <c r="QN42" s="62"/>
      <c r="QO42" s="62"/>
      <c r="QP42" s="62"/>
      <c r="QQ42" s="62"/>
      <c r="QR42" s="62"/>
      <c r="QS42" s="62"/>
      <c r="QT42" s="62"/>
      <c r="QU42" s="62"/>
      <c r="QV42" s="62"/>
      <c r="QW42" s="62"/>
      <c r="QX42" s="62"/>
      <c r="QY42" s="62"/>
      <c r="QZ42" s="62"/>
      <c r="RA42" s="62"/>
      <c r="RB42" s="62"/>
      <c r="RC42" s="62"/>
      <c r="RD42" s="62"/>
      <c r="RE42" s="62"/>
      <c r="RF42" s="62"/>
      <c r="RG42" s="62"/>
      <c r="RH42" s="62"/>
      <c r="RI42" s="62"/>
      <c r="RJ42" s="62"/>
      <c r="RK42" s="62"/>
      <c r="RL42" s="62"/>
      <c r="RM42" s="62"/>
      <c r="RN42" s="62"/>
      <c r="RO42" s="62"/>
      <c r="RP42" s="62"/>
      <c r="RQ42" s="62"/>
      <c r="RR42" s="62"/>
      <c r="RS42" s="62"/>
      <c r="RT42" s="62"/>
      <c r="RU42" s="62"/>
      <c r="RV42" s="62"/>
      <c r="RW42" s="62"/>
      <c r="RX42" s="62"/>
      <c r="RY42" s="62"/>
      <c r="RZ42" s="62"/>
      <c r="SA42" s="62"/>
      <c r="SB42" s="62"/>
      <c r="SC42" s="62"/>
      <c r="SD42" s="62"/>
      <c r="SE42" s="62"/>
      <c r="SF42" s="62"/>
      <c r="SG42" s="62"/>
      <c r="SH42" s="62"/>
      <c r="SI42" s="62"/>
      <c r="SJ42" s="62"/>
      <c r="SK42" s="62"/>
      <c r="SL42" s="62"/>
      <c r="SM42" s="62"/>
      <c r="SN42" s="62"/>
      <c r="SO42" s="62"/>
      <c r="SP42" s="62"/>
      <c r="SQ42" s="62"/>
      <c r="SR42" s="62"/>
      <c r="SS42" s="62"/>
      <c r="ST42" s="62"/>
      <c r="SU42" s="62"/>
      <c r="SV42" s="62"/>
      <c r="SW42" s="62"/>
      <c r="SX42" s="62"/>
      <c r="SY42" s="62"/>
      <c r="SZ42" s="62"/>
      <c r="TA42" s="62"/>
      <c r="TB42" s="62"/>
      <c r="TC42" s="62"/>
      <c r="TD42" s="62"/>
      <c r="TE42" s="62"/>
      <c r="TF42" s="62"/>
      <c r="TG42" s="62"/>
      <c r="TH42" s="62"/>
      <c r="TI42" s="62"/>
      <c r="TJ42" s="62"/>
      <c r="TK42" s="62"/>
      <c r="TL42" s="62"/>
      <c r="TM42" s="62"/>
      <c r="TN42" s="62"/>
      <c r="TO42" s="62"/>
      <c r="TP42" s="62"/>
      <c r="TQ42" s="62"/>
      <c r="TR42" s="62"/>
      <c r="TS42" s="62"/>
      <c r="TT42" s="62"/>
      <c r="TU42" s="62"/>
      <c r="TV42" s="62"/>
      <c r="TW42" s="62"/>
      <c r="TX42" s="62"/>
      <c r="TY42" s="62"/>
      <c r="TZ42" s="62"/>
      <c r="UA42" s="62"/>
      <c r="UB42" s="62"/>
      <c r="UC42" s="62"/>
      <c r="UD42" s="62"/>
      <c r="UE42" s="62"/>
      <c r="UF42" s="62"/>
      <c r="UG42" s="62"/>
      <c r="UH42" s="62"/>
      <c r="UI42" s="62"/>
      <c r="UJ42" s="62"/>
      <c r="UK42" s="62"/>
      <c r="UL42" s="62"/>
      <c r="UM42" s="62"/>
      <c r="UN42" s="62"/>
      <c r="UO42" s="62"/>
      <c r="UP42" s="62"/>
      <c r="UQ42" s="62"/>
      <c r="UR42" s="62"/>
      <c r="US42" s="62"/>
      <c r="UT42" s="62"/>
      <c r="UU42" s="62"/>
      <c r="UV42" s="62"/>
      <c r="UW42" s="62"/>
      <c r="UX42" s="62"/>
      <c r="UY42" s="62"/>
      <c r="UZ42" s="62"/>
      <c r="VA42" s="62"/>
      <c r="VB42" s="62"/>
      <c r="VC42" s="62"/>
      <c r="VD42" s="62"/>
      <c r="VE42" s="62"/>
      <c r="VF42" s="62"/>
      <c r="VG42" s="62"/>
      <c r="VH42" s="62"/>
      <c r="VI42" s="62"/>
      <c r="VJ42" s="62"/>
      <c r="VK42" s="62"/>
      <c r="VL42" s="62"/>
      <c r="VM42" s="62"/>
      <c r="VN42" s="62"/>
      <c r="VO42" s="62"/>
      <c r="VP42" s="62"/>
      <c r="VQ42" s="62"/>
      <c r="VR42" s="62"/>
      <c r="VS42" s="62"/>
      <c r="VT42" s="62"/>
      <c r="VU42" s="62"/>
      <c r="VV42" s="62"/>
      <c r="VW42" s="62"/>
      <c r="VX42" s="62"/>
      <c r="VY42" s="62"/>
      <c r="VZ42" s="62"/>
      <c r="WA42" s="62"/>
      <c r="WB42" s="62"/>
      <c r="WC42" s="62"/>
      <c r="WD42" s="62"/>
      <c r="WE42" s="62"/>
      <c r="WF42" s="62"/>
      <c r="WG42" s="62"/>
      <c r="WH42" s="62"/>
      <c r="WI42" s="62"/>
      <c r="WJ42" s="62"/>
      <c r="WK42" s="62"/>
      <c r="WL42" s="62"/>
      <c r="WM42" s="62"/>
      <c r="WN42" s="62"/>
      <c r="WO42" s="62"/>
      <c r="WP42" s="62"/>
      <c r="WQ42" s="62"/>
      <c r="WR42" s="62"/>
      <c r="WS42" s="62"/>
      <c r="WT42" s="62"/>
      <c r="WU42" s="62"/>
      <c r="WV42" s="62"/>
      <c r="WW42" s="62"/>
      <c r="WX42" s="62"/>
      <c r="WY42" s="62"/>
      <c r="WZ42" s="62"/>
      <c r="XA42" s="62"/>
      <c r="XB42" s="62"/>
      <c r="XC42" s="62"/>
      <c r="XD42" s="62"/>
      <c r="XE42" s="62"/>
      <c r="XF42" s="62"/>
      <c r="XG42" s="62"/>
      <c r="XH42" s="62"/>
      <c r="XI42" s="62"/>
      <c r="XJ42" s="62"/>
      <c r="XK42" s="62"/>
      <c r="XL42" s="62"/>
      <c r="XM42" s="62"/>
      <c r="XN42" s="62"/>
      <c r="XO42" s="62"/>
      <c r="XP42" s="62"/>
      <c r="XQ42" s="62"/>
      <c r="XR42" s="62"/>
      <c r="XS42" s="62"/>
      <c r="XT42" s="62"/>
      <c r="XU42" s="62"/>
      <c r="XV42" s="62"/>
      <c r="XW42" s="62"/>
      <c r="XX42" s="62"/>
      <c r="XY42" s="62"/>
      <c r="XZ42" s="62"/>
      <c r="YA42" s="62"/>
      <c r="YB42" s="62"/>
      <c r="YC42" s="62"/>
      <c r="YD42" s="62"/>
      <c r="YE42" s="62"/>
      <c r="YF42" s="62"/>
      <c r="YG42" s="62"/>
      <c r="YH42" s="62"/>
      <c r="YI42" s="62"/>
      <c r="YJ42" s="62"/>
      <c r="YK42" s="62"/>
      <c r="YL42" s="62"/>
      <c r="YM42" s="62"/>
      <c r="YN42" s="62"/>
      <c r="YO42" s="62"/>
      <c r="YP42" s="62"/>
      <c r="YQ42" s="62"/>
      <c r="YR42" s="62"/>
      <c r="YS42" s="62"/>
      <c r="YT42" s="62"/>
      <c r="YU42" s="62"/>
      <c r="YV42" s="62"/>
      <c r="YW42" s="62"/>
      <c r="YX42" s="62"/>
      <c r="YY42" s="62"/>
      <c r="YZ42" s="62"/>
      <c r="ZA42" s="62"/>
      <c r="ZB42" s="62"/>
      <c r="ZC42" s="62"/>
      <c r="ZD42" s="62"/>
      <c r="ZE42" s="62"/>
      <c r="ZF42" s="62"/>
      <c r="ZG42" s="62"/>
      <c r="ZH42" s="62"/>
      <c r="ZI42" s="62"/>
      <c r="ZJ42" s="62"/>
      <c r="ZK42" s="62"/>
      <c r="ZL42" s="62"/>
      <c r="ZM42" s="62"/>
      <c r="ZN42" s="62"/>
      <c r="ZO42" s="62"/>
      <c r="ZP42" s="62"/>
      <c r="ZQ42" s="62"/>
      <c r="ZR42" s="62"/>
      <c r="ZS42" s="62"/>
      <c r="ZT42" s="62"/>
      <c r="ZU42" s="62"/>
      <c r="ZV42" s="62"/>
      <c r="ZW42" s="62"/>
      <c r="ZX42" s="62"/>
      <c r="ZY42" s="62"/>
      <c r="ZZ42" s="62"/>
      <c r="AAA42" s="62"/>
      <c r="AAB42" s="62"/>
      <c r="AAC42" s="62"/>
      <c r="AAD42" s="62"/>
      <c r="AAE42" s="62"/>
      <c r="AAF42" s="62"/>
      <c r="AAG42" s="62"/>
      <c r="AAH42" s="62"/>
      <c r="AAI42" s="62"/>
      <c r="AAJ42" s="62"/>
      <c r="AAK42" s="62"/>
      <c r="AAL42" s="62"/>
      <c r="AAM42" s="62"/>
      <c r="AAN42" s="62"/>
      <c r="AAO42" s="62"/>
      <c r="AAP42" s="62"/>
      <c r="AAQ42" s="62"/>
      <c r="AAR42" s="62"/>
      <c r="AAS42" s="62"/>
      <c r="AAT42" s="62"/>
      <c r="AAU42" s="62"/>
      <c r="AAV42" s="62"/>
      <c r="AAW42" s="62"/>
      <c r="AAX42" s="62"/>
      <c r="AAY42" s="62"/>
      <c r="AAZ42" s="62"/>
      <c r="ABA42" s="62"/>
      <c r="ABB42" s="62"/>
      <c r="ABC42" s="62"/>
      <c r="ABD42" s="62"/>
      <c r="ABE42" s="62"/>
      <c r="ABF42" s="62"/>
      <c r="ABG42" s="62"/>
      <c r="ABH42" s="62"/>
      <c r="ABI42" s="62"/>
      <c r="ABJ42" s="62"/>
      <c r="ABK42" s="62"/>
      <c r="ABL42" s="62"/>
      <c r="ABM42" s="62"/>
      <c r="ABN42" s="62"/>
      <c r="ABO42" s="62"/>
      <c r="ABP42" s="62"/>
      <c r="ABQ42" s="62"/>
      <c r="ABR42" s="62"/>
      <c r="ABS42" s="62"/>
      <c r="ABT42" s="62"/>
      <c r="ABU42" s="62"/>
      <c r="ABV42" s="62"/>
      <c r="ABW42" s="62"/>
      <c r="ABX42" s="62"/>
      <c r="ABY42" s="62"/>
      <c r="ABZ42" s="62"/>
      <c r="ACA42" s="62"/>
      <c r="ACB42" s="62"/>
      <c r="ACC42" s="62"/>
      <c r="ACD42" s="62"/>
      <c r="ACE42" s="62"/>
      <c r="ACF42" s="62"/>
      <c r="ACG42" s="62"/>
      <c r="ACH42" s="62"/>
      <c r="ACI42" s="62"/>
      <c r="ACJ42" s="62"/>
      <c r="ACK42" s="62"/>
      <c r="ACL42" s="62"/>
      <c r="ACM42" s="62"/>
      <c r="ACN42" s="62"/>
      <c r="ACO42" s="62"/>
      <c r="ACP42" s="62"/>
      <c r="ACQ42" s="62"/>
      <c r="ACR42" s="62"/>
      <c r="ACS42" s="62"/>
      <c r="ACT42" s="62"/>
      <c r="ACU42" s="62"/>
      <c r="ACV42" s="62"/>
      <c r="ACW42" s="62"/>
      <c r="ACX42" s="62"/>
      <c r="ACY42" s="62"/>
      <c r="ACZ42" s="62"/>
      <c r="ADA42" s="62"/>
      <c r="ADB42" s="62"/>
      <c r="ADC42" s="62"/>
      <c r="ADD42" s="62"/>
      <c r="ADE42" s="62"/>
      <c r="ADF42" s="62"/>
      <c r="ADG42" s="62"/>
      <c r="ADH42" s="62"/>
      <c r="ADI42" s="62"/>
      <c r="ADJ42" s="62"/>
      <c r="ADK42" s="62"/>
      <c r="ADL42" s="62"/>
      <c r="ADM42" s="62"/>
      <c r="ADN42" s="62"/>
      <c r="ADO42" s="62"/>
      <c r="ADP42" s="62"/>
      <c r="ADQ42" s="62"/>
      <c r="ADR42" s="62"/>
      <c r="ADS42" s="62"/>
      <c r="ADT42" s="62"/>
      <c r="ADU42" s="62"/>
      <c r="ADV42" s="62"/>
      <c r="ADW42" s="62"/>
      <c r="ADX42" s="62"/>
      <c r="ADY42" s="62"/>
      <c r="ADZ42" s="62"/>
      <c r="AEA42" s="62"/>
      <c r="AEB42" s="62"/>
      <c r="AEC42" s="62"/>
      <c r="AED42" s="62"/>
      <c r="AEE42" s="62"/>
      <c r="AEF42" s="62"/>
      <c r="AEG42" s="62"/>
      <c r="AEH42" s="62"/>
      <c r="AEI42" s="62"/>
      <c r="AEJ42" s="62"/>
      <c r="AEK42" s="62"/>
      <c r="AEL42" s="62"/>
      <c r="AEM42" s="62"/>
      <c r="AEN42" s="62"/>
      <c r="AEO42" s="62"/>
      <c r="AEP42" s="62"/>
      <c r="AEQ42" s="62"/>
      <c r="AER42" s="62"/>
      <c r="AES42" s="62"/>
      <c r="AET42" s="62"/>
      <c r="AEU42" s="62"/>
      <c r="AEV42" s="62"/>
      <c r="AEW42" s="62"/>
      <c r="AEX42" s="62"/>
      <c r="AEY42" s="62"/>
      <c r="AEZ42" s="62"/>
      <c r="AFA42" s="62"/>
      <c r="AFB42" s="62"/>
      <c r="AFC42" s="62"/>
      <c r="AFD42" s="62"/>
      <c r="AFE42" s="62"/>
      <c r="AFF42" s="62"/>
      <c r="AFG42" s="62"/>
      <c r="AFH42" s="62"/>
      <c r="AFI42" s="62"/>
      <c r="AFJ42" s="62"/>
      <c r="AFK42" s="62"/>
      <c r="AFL42" s="62"/>
      <c r="AFM42" s="62"/>
      <c r="AFN42" s="62"/>
      <c r="AFO42" s="62"/>
      <c r="AFP42" s="62"/>
      <c r="AFQ42" s="62"/>
      <c r="AFR42" s="62"/>
      <c r="AFS42" s="62"/>
      <c r="AFT42" s="62"/>
      <c r="AFU42" s="62"/>
      <c r="AFV42" s="62"/>
      <c r="AFW42" s="62"/>
      <c r="AFX42" s="62"/>
      <c r="AFY42" s="62"/>
      <c r="AFZ42" s="62"/>
      <c r="AGA42" s="62"/>
      <c r="AGB42" s="62"/>
      <c r="AGC42" s="62"/>
      <c r="AGD42" s="62"/>
      <c r="AGE42" s="62"/>
      <c r="AGF42" s="62"/>
      <c r="AGG42" s="62"/>
      <c r="AGH42" s="62"/>
      <c r="AGI42" s="62"/>
      <c r="AGJ42" s="62"/>
      <c r="AGK42" s="62"/>
      <c r="AGL42" s="62"/>
      <c r="AGM42" s="62"/>
      <c r="AGN42" s="62"/>
      <c r="AGO42" s="62"/>
      <c r="AGP42" s="62"/>
      <c r="AGQ42" s="62"/>
      <c r="AGR42" s="62"/>
      <c r="AGS42" s="62"/>
      <c r="AGT42" s="62"/>
      <c r="AGU42" s="62"/>
      <c r="AGV42" s="62"/>
      <c r="AGW42" s="62"/>
      <c r="AGX42" s="62"/>
      <c r="AGY42" s="62"/>
      <c r="AGZ42" s="62"/>
      <c r="AHA42" s="62"/>
      <c r="AHB42" s="62"/>
      <c r="AHC42" s="62"/>
      <c r="AHD42" s="62"/>
      <c r="AHE42" s="62"/>
      <c r="AHF42" s="62"/>
      <c r="AHG42" s="62"/>
      <c r="AHH42" s="62"/>
      <c r="AHI42" s="62"/>
      <c r="AHJ42" s="62"/>
      <c r="AHK42" s="62"/>
      <c r="AHL42" s="62"/>
      <c r="AHM42" s="62"/>
      <c r="AHN42" s="62"/>
      <c r="AHO42" s="62"/>
      <c r="AHP42" s="62"/>
      <c r="AHQ42" s="62"/>
      <c r="AHR42" s="62"/>
      <c r="AHS42" s="62"/>
      <c r="AHT42" s="62"/>
      <c r="AHU42" s="62"/>
      <c r="AHV42" s="62"/>
      <c r="AHW42" s="62"/>
      <c r="AHX42" s="62"/>
      <c r="AHY42" s="62"/>
      <c r="AHZ42" s="62"/>
      <c r="AIA42" s="62"/>
      <c r="AIB42" s="62"/>
      <c r="AIC42" s="62"/>
      <c r="AID42" s="62"/>
      <c r="AIE42" s="62"/>
      <c r="AIF42" s="62"/>
      <c r="AIG42" s="62"/>
      <c r="AIH42" s="62"/>
      <c r="AII42" s="62"/>
      <c r="AIJ42" s="62"/>
      <c r="AIK42" s="62"/>
      <c r="AIL42" s="62"/>
      <c r="AIM42" s="62"/>
      <c r="AIN42" s="62"/>
      <c r="AIO42" s="62"/>
      <c r="AIP42" s="62"/>
      <c r="AIQ42" s="62"/>
      <c r="AIR42" s="62"/>
      <c r="AIS42" s="62"/>
      <c r="AIT42" s="62"/>
      <c r="AIU42" s="62"/>
      <c r="AIV42" s="62"/>
      <c r="AIW42" s="62"/>
      <c r="AIX42" s="62"/>
      <c r="AIY42" s="62"/>
      <c r="AIZ42" s="62"/>
      <c r="AJA42" s="62"/>
      <c r="AJB42" s="62"/>
      <c r="AJC42" s="62"/>
      <c r="AJD42" s="62"/>
      <c r="AJE42" s="62"/>
      <c r="AJF42" s="62"/>
      <c r="AJG42" s="62"/>
      <c r="AJH42" s="62"/>
      <c r="AJI42" s="62"/>
      <c r="AJJ42" s="62"/>
      <c r="AJK42" s="62"/>
      <c r="AJL42" s="62"/>
      <c r="AJM42" s="62"/>
      <c r="AJN42" s="62"/>
      <c r="AJO42" s="62"/>
      <c r="AJP42" s="62"/>
      <c r="AJQ42" s="62"/>
      <c r="AJR42" s="62"/>
      <c r="AJS42" s="62"/>
      <c r="AJT42" s="62"/>
      <c r="AJU42" s="62"/>
      <c r="AJV42" s="62"/>
      <c r="AJW42" s="62"/>
      <c r="AJX42" s="62"/>
      <c r="AJY42" s="62"/>
      <c r="AJZ42" s="62"/>
      <c r="AKA42" s="62"/>
      <c r="AKB42" s="62"/>
      <c r="AKC42" s="62"/>
      <c r="AKD42" s="62"/>
      <c r="AKE42" s="62"/>
      <c r="AKF42" s="62"/>
      <c r="AKG42" s="62"/>
      <c r="AKH42" s="62"/>
      <c r="AKI42" s="62"/>
      <c r="AKJ42" s="62"/>
      <c r="AKK42" s="62"/>
      <c r="AKL42" s="62"/>
      <c r="AKM42" s="62"/>
      <c r="AKN42" s="62"/>
      <c r="AKO42" s="62"/>
      <c r="AKP42" s="62"/>
      <c r="AKQ42" s="62"/>
      <c r="AKR42" s="62"/>
      <c r="AKS42" s="62"/>
      <c r="AKT42" s="62"/>
      <c r="AKU42" s="62"/>
      <c r="AKV42" s="62"/>
      <c r="AKW42" s="62"/>
      <c r="AKX42" s="62"/>
      <c r="AKY42" s="62"/>
      <c r="AKZ42" s="62"/>
      <c r="ALA42" s="62"/>
      <c r="ALB42" s="62"/>
      <c r="ALC42" s="62"/>
      <c r="ALD42" s="62"/>
      <c r="ALE42" s="62"/>
      <c r="ALF42" s="62"/>
      <c r="ALG42" s="62"/>
      <c r="ALH42" s="62"/>
      <c r="ALI42" s="62"/>
      <c r="ALJ42" s="62"/>
      <c r="ALK42" s="62"/>
      <c r="ALL42" s="62"/>
      <c r="ALM42" s="62"/>
      <c r="ALN42" s="62"/>
      <c r="ALO42" s="62"/>
      <c r="ALP42" s="62"/>
      <c r="ALQ42" s="62"/>
      <c r="ALR42" s="62"/>
      <c r="ALS42" s="62"/>
      <c r="ALT42" s="62"/>
      <c r="ALU42" s="62"/>
      <c r="ALV42" s="62"/>
      <c r="ALW42" s="62"/>
      <c r="ALX42" s="62"/>
      <c r="ALY42" s="62"/>
      <c r="ALZ42" s="62"/>
      <c r="AMA42" s="62"/>
      <c r="AMB42" s="62"/>
      <c r="AMC42" s="62"/>
      <c r="AMD42" s="62"/>
      <c r="AME42" s="62"/>
      <c r="AMF42" s="62"/>
      <c r="AMG42" s="62"/>
      <c r="AMH42" s="62"/>
      <c r="AMI42" s="62"/>
      <c r="AMJ42" s="62"/>
    </row>
    <row r="43" spans="1:1024" s="83" customFormat="1" ht="15">
      <c r="A43" s="62"/>
      <c r="B43" s="57"/>
      <c r="C43" s="698" t="s">
        <v>1441</v>
      </c>
      <c r="D43" s="698"/>
      <c r="E43" s="698"/>
      <c r="F43" s="58">
        <f t="shared" si="0"/>
        <v>0</v>
      </c>
      <c r="G43" s="58">
        <f>'2.4.H Elektroinstalace'!J29</f>
        <v>0</v>
      </c>
      <c r="H43" s="59"/>
      <c r="I43" s="60">
        <f t="shared" si="1"/>
        <v>0</v>
      </c>
      <c r="J43" s="62"/>
      <c r="K43" s="61"/>
      <c r="L43" s="61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  <c r="IR43" s="62"/>
      <c r="IS43" s="62"/>
      <c r="IT43" s="62"/>
      <c r="IU43" s="62"/>
      <c r="IV43" s="62"/>
      <c r="IW43" s="62"/>
      <c r="IX43" s="62"/>
      <c r="IY43" s="62"/>
      <c r="IZ43" s="62"/>
      <c r="JA43" s="62"/>
      <c r="JB43" s="62"/>
      <c r="JC43" s="62"/>
      <c r="JD43" s="62"/>
      <c r="JE43" s="62"/>
      <c r="JF43" s="62"/>
      <c r="JG43" s="62"/>
      <c r="JH43" s="62"/>
      <c r="JI43" s="62"/>
      <c r="JJ43" s="62"/>
      <c r="JK43" s="62"/>
      <c r="JL43" s="62"/>
      <c r="JM43" s="62"/>
      <c r="JN43" s="62"/>
      <c r="JO43" s="62"/>
      <c r="JP43" s="62"/>
      <c r="JQ43" s="62"/>
      <c r="JR43" s="62"/>
      <c r="JS43" s="62"/>
      <c r="JT43" s="62"/>
      <c r="JU43" s="62"/>
      <c r="JV43" s="62"/>
      <c r="JW43" s="62"/>
      <c r="JX43" s="62"/>
      <c r="JY43" s="62"/>
      <c r="JZ43" s="62"/>
      <c r="KA43" s="62"/>
      <c r="KB43" s="62"/>
      <c r="KC43" s="62"/>
      <c r="KD43" s="62"/>
      <c r="KE43" s="62"/>
      <c r="KF43" s="62"/>
      <c r="KG43" s="62"/>
      <c r="KH43" s="62"/>
      <c r="KI43" s="62"/>
      <c r="KJ43" s="62"/>
      <c r="KK43" s="62"/>
      <c r="KL43" s="62"/>
      <c r="KM43" s="62"/>
      <c r="KN43" s="62"/>
      <c r="KO43" s="62"/>
      <c r="KP43" s="62"/>
      <c r="KQ43" s="62"/>
      <c r="KR43" s="62"/>
      <c r="KS43" s="62"/>
      <c r="KT43" s="62"/>
      <c r="KU43" s="62"/>
      <c r="KV43" s="62"/>
      <c r="KW43" s="62"/>
      <c r="KX43" s="62"/>
      <c r="KY43" s="62"/>
      <c r="KZ43" s="62"/>
      <c r="LA43" s="62"/>
      <c r="LB43" s="62"/>
      <c r="LC43" s="62"/>
      <c r="LD43" s="62"/>
      <c r="LE43" s="62"/>
      <c r="LF43" s="62"/>
      <c r="LG43" s="62"/>
      <c r="LH43" s="62"/>
      <c r="LI43" s="62"/>
      <c r="LJ43" s="62"/>
      <c r="LK43" s="62"/>
      <c r="LL43" s="62"/>
      <c r="LM43" s="62"/>
      <c r="LN43" s="62"/>
      <c r="LO43" s="62"/>
      <c r="LP43" s="62"/>
      <c r="LQ43" s="62"/>
      <c r="LR43" s="62"/>
      <c r="LS43" s="62"/>
      <c r="LT43" s="62"/>
      <c r="LU43" s="62"/>
      <c r="LV43" s="62"/>
      <c r="LW43" s="62"/>
      <c r="LX43" s="62"/>
      <c r="LY43" s="62"/>
      <c r="LZ43" s="62"/>
      <c r="MA43" s="62"/>
      <c r="MB43" s="62"/>
      <c r="MC43" s="62"/>
      <c r="MD43" s="62"/>
      <c r="ME43" s="62"/>
      <c r="MF43" s="62"/>
      <c r="MG43" s="62"/>
      <c r="MH43" s="62"/>
      <c r="MI43" s="62"/>
      <c r="MJ43" s="62"/>
      <c r="MK43" s="62"/>
      <c r="ML43" s="62"/>
      <c r="MM43" s="62"/>
      <c r="MN43" s="62"/>
      <c r="MO43" s="62"/>
      <c r="MP43" s="62"/>
      <c r="MQ43" s="62"/>
      <c r="MR43" s="62"/>
      <c r="MS43" s="62"/>
      <c r="MT43" s="62"/>
      <c r="MU43" s="62"/>
      <c r="MV43" s="62"/>
      <c r="MW43" s="62"/>
      <c r="MX43" s="62"/>
      <c r="MY43" s="62"/>
      <c r="MZ43" s="62"/>
      <c r="NA43" s="62"/>
      <c r="NB43" s="62"/>
      <c r="NC43" s="62"/>
      <c r="ND43" s="62"/>
      <c r="NE43" s="62"/>
      <c r="NF43" s="62"/>
      <c r="NG43" s="62"/>
      <c r="NH43" s="62"/>
      <c r="NI43" s="62"/>
      <c r="NJ43" s="62"/>
      <c r="NK43" s="62"/>
      <c r="NL43" s="62"/>
      <c r="NM43" s="62"/>
      <c r="NN43" s="62"/>
      <c r="NO43" s="62"/>
      <c r="NP43" s="62"/>
      <c r="NQ43" s="62"/>
      <c r="NR43" s="62"/>
      <c r="NS43" s="62"/>
      <c r="NT43" s="62"/>
      <c r="NU43" s="62"/>
      <c r="NV43" s="62"/>
      <c r="NW43" s="62"/>
      <c r="NX43" s="62"/>
      <c r="NY43" s="62"/>
      <c r="NZ43" s="62"/>
      <c r="OA43" s="62"/>
      <c r="OB43" s="62"/>
      <c r="OC43" s="62"/>
      <c r="OD43" s="62"/>
      <c r="OE43" s="62"/>
      <c r="OF43" s="62"/>
      <c r="OG43" s="62"/>
      <c r="OH43" s="62"/>
      <c r="OI43" s="62"/>
      <c r="OJ43" s="62"/>
      <c r="OK43" s="62"/>
      <c r="OL43" s="62"/>
      <c r="OM43" s="62"/>
      <c r="ON43" s="62"/>
      <c r="OO43" s="62"/>
      <c r="OP43" s="62"/>
      <c r="OQ43" s="62"/>
      <c r="OR43" s="62"/>
      <c r="OS43" s="62"/>
      <c r="OT43" s="62"/>
      <c r="OU43" s="62"/>
      <c r="OV43" s="62"/>
      <c r="OW43" s="62"/>
      <c r="OX43" s="62"/>
      <c r="OY43" s="62"/>
      <c r="OZ43" s="62"/>
      <c r="PA43" s="62"/>
      <c r="PB43" s="62"/>
      <c r="PC43" s="62"/>
      <c r="PD43" s="62"/>
      <c r="PE43" s="62"/>
      <c r="PF43" s="62"/>
      <c r="PG43" s="62"/>
      <c r="PH43" s="62"/>
      <c r="PI43" s="62"/>
      <c r="PJ43" s="62"/>
      <c r="PK43" s="62"/>
      <c r="PL43" s="62"/>
      <c r="PM43" s="62"/>
      <c r="PN43" s="62"/>
      <c r="PO43" s="62"/>
      <c r="PP43" s="62"/>
      <c r="PQ43" s="62"/>
      <c r="PR43" s="62"/>
      <c r="PS43" s="62"/>
      <c r="PT43" s="62"/>
      <c r="PU43" s="62"/>
      <c r="PV43" s="62"/>
      <c r="PW43" s="62"/>
      <c r="PX43" s="62"/>
      <c r="PY43" s="62"/>
      <c r="PZ43" s="62"/>
      <c r="QA43" s="62"/>
      <c r="QB43" s="62"/>
      <c r="QC43" s="62"/>
      <c r="QD43" s="62"/>
      <c r="QE43" s="62"/>
      <c r="QF43" s="62"/>
      <c r="QG43" s="62"/>
      <c r="QH43" s="62"/>
      <c r="QI43" s="62"/>
      <c r="QJ43" s="62"/>
      <c r="QK43" s="62"/>
      <c r="QL43" s="62"/>
      <c r="QM43" s="62"/>
      <c r="QN43" s="62"/>
      <c r="QO43" s="62"/>
      <c r="QP43" s="62"/>
      <c r="QQ43" s="62"/>
      <c r="QR43" s="62"/>
      <c r="QS43" s="62"/>
      <c r="QT43" s="62"/>
      <c r="QU43" s="62"/>
      <c r="QV43" s="62"/>
      <c r="QW43" s="62"/>
      <c r="QX43" s="62"/>
      <c r="QY43" s="62"/>
      <c r="QZ43" s="62"/>
      <c r="RA43" s="62"/>
      <c r="RB43" s="62"/>
      <c r="RC43" s="62"/>
      <c r="RD43" s="62"/>
      <c r="RE43" s="62"/>
      <c r="RF43" s="62"/>
      <c r="RG43" s="62"/>
      <c r="RH43" s="62"/>
      <c r="RI43" s="62"/>
      <c r="RJ43" s="62"/>
      <c r="RK43" s="62"/>
      <c r="RL43" s="62"/>
      <c r="RM43" s="62"/>
      <c r="RN43" s="62"/>
      <c r="RO43" s="62"/>
      <c r="RP43" s="62"/>
      <c r="RQ43" s="62"/>
      <c r="RR43" s="62"/>
      <c r="RS43" s="62"/>
      <c r="RT43" s="62"/>
      <c r="RU43" s="62"/>
      <c r="RV43" s="62"/>
      <c r="RW43" s="62"/>
      <c r="RX43" s="62"/>
      <c r="RY43" s="62"/>
      <c r="RZ43" s="62"/>
      <c r="SA43" s="62"/>
      <c r="SB43" s="62"/>
      <c r="SC43" s="62"/>
      <c r="SD43" s="62"/>
      <c r="SE43" s="62"/>
      <c r="SF43" s="62"/>
      <c r="SG43" s="62"/>
      <c r="SH43" s="62"/>
      <c r="SI43" s="62"/>
      <c r="SJ43" s="62"/>
      <c r="SK43" s="62"/>
      <c r="SL43" s="62"/>
      <c r="SM43" s="62"/>
      <c r="SN43" s="62"/>
      <c r="SO43" s="62"/>
      <c r="SP43" s="62"/>
      <c r="SQ43" s="62"/>
      <c r="SR43" s="62"/>
      <c r="SS43" s="62"/>
      <c r="ST43" s="62"/>
      <c r="SU43" s="62"/>
      <c r="SV43" s="62"/>
      <c r="SW43" s="62"/>
      <c r="SX43" s="62"/>
      <c r="SY43" s="62"/>
      <c r="SZ43" s="62"/>
      <c r="TA43" s="62"/>
      <c r="TB43" s="62"/>
      <c r="TC43" s="62"/>
      <c r="TD43" s="62"/>
      <c r="TE43" s="62"/>
      <c r="TF43" s="62"/>
      <c r="TG43" s="62"/>
      <c r="TH43" s="62"/>
      <c r="TI43" s="62"/>
      <c r="TJ43" s="62"/>
      <c r="TK43" s="62"/>
      <c r="TL43" s="62"/>
      <c r="TM43" s="62"/>
      <c r="TN43" s="62"/>
      <c r="TO43" s="62"/>
      <c r="TP43" s="62"/>
      <c r="TQ43" s="62"/>
      <c r="TR43" s="62"/>
      <c r="TS43" s="62"/>
      <c r="TT43" s="62"/>
      <c r="TU43" s="62"/>
      <c r="TV43" s="62"/>
      <c r="TW43" s="62"/>
      <c r="TX43" s="62"/>
      <c r="TY43" s="62"/>
      <c r="TZ43" s="62"/>
      <c r="UA43" s="62"/>
      <c r="UB43" s="62"/>
      <c r="UC43" s="62"/>
      <c r="UD43" s="62"/>
      <c r="UE43" s="62"/>
      <c r="UF43" s="62"/>
      <c r="UG43" s="62"/>
      <c r="UH43" s="62"/>
      <c r="UI43" s="62"/>
      <c r="UJ43" s="62"/>
      <c r="UK43" s="62"/>
      <c r="UL43" s="62"/>
      <c r="UM43" s="62"/>
      <c r="UN43" s="62"/>
      <c r="UO43" s="62"/>
      <c r="UP43" s="62"/>
      <c r="UQ43" s="62"/>
      <c r="UR43" s="62"/>
      <c r="US43" s="62"/>
      <c r="UT43" s="62"/>
      <c r="UU43" s="62"/>
      <c r="UV43" s="62"/>
      <c r="UW43" s="62"/>
      <c r="UX43" s="62"/>
      <c r="UY43" s="62"/>
      <c r="UZ43" s="62"/>
      <c r="VA43" s="62"/>
      <c r="VB43" s="62"/>
      <c r="VC43" s="62"/>
      <c r="VD43" s="62"/>
      <c r="VE43" s="62"/>
      <c r="VF43" s="62"/>
      <c r="VG43" s="62"/>
      <c r="VH43" s="62"/>
      <c r="VI43" s="62"/>
      <c r="VJ43" s="62"/>
      <c r="VK43" s="62"/>
      <c r="VL43" s="62"/>
      <c r="VM43" s="62"/>
      <c r="VN43" s="62"/>
      <c r="VO43" s="62"/>
      <c r="VP43" s="62"/>
      <c r="VQ43" s="62"/>
      <c r="VR43" s="62"/>
      <c r="VS43" s="62"/>
      <c r="VT43" s="62"/>
      <c r="VU43" s="62"/>
      <c r="VV43" s="62"/>
      <c r="VW43" s="62"/>
      <c r="VX43" s="62"/>
      <c r="VY43" s="62"/>
      <c r="VZ43" s="62"/>
      <c r="WA43" s="62"/>
      <c r="WB43" s="62"/>
      <c r="WC43" s="62"/>
      <c r="WD43" s="62"/>
      <c r="WE43" s="62"/>
      <c r="WF43" s="62"/>
      <c r="WG43" s="62"/>
      <c r="WH43" s="62"/>
      <c r="WI43" s="62"/>
      <c r="WJ43" s="62"/>
      <c r="WK43" s="62"/>
      <c r="WL43" s="62"/>
      <c r="WM43" s="62"/>
      <c r="WN43" s="62"/>
      <c r="WO43" s="62"/>
      <c r="WP43" s="62"/>
      <c r="WQ43" s="62"/>
      <c r="WR43" s="62"/>
      <c r="WS43" s="62"/>
      <c r="WT43" s="62"/>
      <c r="WU43" s="62"/>
      <c r="WV43" s="62"/>
      <c r="WW43" s="62"/>
      <c r="WX43" s="62"/>
      <c r="WY43" s="62"/>
      <c r="WZ43" s="62"/>
      <c r="XA43" s="62"/>
      <c r="XB43" s="62"/>
      <c r="XC43" s="62"/>
      <c r="XD43" s="62"/>
      <c r="XE43" s="62"/>
      <c r="XF43" s="62"/>
      <c r="XG43" s="62"/>
      <c r="XH43" s="62"/>
      <c r="XI43" s="62"/>
      <c r="XJ43" s="62"/>
      <c r="XK43" s="62"/>
      <c r="XL43" s="62"/>
      <c r="XM43" s="62"/>
      <c r="XN43" s="62"/>
      <c r="XO43" s="62"/>
      <c r="XP43" s="62"/>
      <c r="XQ43" s="62"/>
      <c r="XR43" s="62"/>
      <c r="XS43" s="62"/>
      <c r="XT43" s="62"/>
      <c r="XU43" s="62"/>
      <c r="XV43" s="62"/>
      <c r="XW43" s="62"/>
      <c r="XX43" s="62"/>
      <c r="XY43" s="62"/>
      <c r="XZ43" s="62"/>
      <c r="YA43" s="62"/>
      <c r="YB43" s="62"/>
      <c r="YC43" s="62"/>
      <c r="YD43" s="62"/>
      <c r="YE43" s="62"/>
      <c r="YF43" s="62"/>
      <c r="YG43" s="62"/>
      <c r="YH43" s="62"/>
      <c r="YI43" s="62"/>
      <c r="YJ43" s="62"/>
      <c r="YK43" s="62"/>
      <c r="YL43" s="62"/>
      <c r="YM43" s="62"/>
      <c r="YN43" s="62"/>
      <c r="YO43" s="62"/>
      <c r="YP43" s="62"/>
      <c r="YQ43" s="62"/>
      <c r="YR43" s="62"/>
      <c r="YS43" s="62"/>
      <c r="YT43" s="62"/>
      <c r="YU43" s="62"/>
      <c r="YV43" s="62"/>
      <c r="YW43" s="62"/>
      <c r="YX43" s="62"/>
      <c r="YY43" s="62"/>
      <c r="YZ43" s="62"/>
      <c r="ZA43" s="62"/>
      <c r="ZB43" s="62"/>
      <c r="ZC43" s="62"/>
      <c r="ZD43" s="62"/>
      <c r="ZE43" s="62"/>
      <c r="ZF43" s="62"/>
      <c r="ZG43" s="62"/>
      <c r="ZH43" s="62"/>
      <c r="ZI43" s="62"/>
      <c r="ZJ43" s="62"/>
      <c r="ZK43" s="62"/>
      <c r="ZL43" s="62"/>
      <c r="ZM43" s="62"/>
      <c r="ZN43" s="62"/>
      <c r="ZO43" s="62"/>
      <c r="ZP43" s="62"/>
      <c r="ZQ43" s="62"/>
      <c r="ZR43" s="62"/>
      <c r="ZS43" s="62"/>
      <c r="ZT43" s="62"/>
      <c r="ZU43" s="62"/>
      <c r="ZV43" s="62"/>
      <c r="ZW43" s="62"/>
      <c r="ZX43" s="62"/>
      <c r="ZY43" s="62"/>
      <c r="ZZ43" s="62"/>
      <c r="AAA43" s="62"/>
      <c r="AAB43" s="62"/>
      <c r="AAC43" s="62"/>
      <c r="AAD43" s="62"/>
      <c r="AAE43" s="62"/>
      <c r="AAF43" s="62"/>
      <c r="AAG43" s="62"/>
      <c r="AAH43" s="62"/>
      <c r="AAI43" s="62"/>
      <c r="AAJ43" s="62"/>
      <c r="AAK43" s="62"/>
      <c r="AAL43" s="62"/>
      <c r="AAM43" s="62"/>
      <c r="AAN43" s="62"/>
      <c r="AAO43" s="62"/>
      <c r="AAP43" s="62"/>
      <c r="AAQ43" s="62"/>
      <c r="AAR43" s="62"/>
      <c r="AAS43" s="62"/>
      <c r="AAT43" s="62"/>
      <c r="AAU43" s="62"/>
      <c r="AAV43" s="62"/>
      <c r="AAW43" s="62"/>
      <c r="AAX43" s="62"/>
      <c r="AAY43" s="62"/>
      <c r="AAZ43" s="62"/>
      <c r="ABA43" s="62"/>
      <c r="ABB43" s="62"/>
      <c r="ABC43" s="62"/>
      <c r="ABD43" s="62"/>
      <c r="ABE43" s="62"/>
      <c r="ABF43" s="62"/>
      <c r="ABG43" s="62"/>
      <c r="ABH43" s="62"/>
      <c r="ABI43" s="62"/>
      <c r="ABJ43" s="62"/>
      <c r="ABK43" s="62"/>
      <c r="ABL43" s="62"/>
      <c r="ABM43" s="62"/>
      <c r="ABN43" s="62"/>
      <c r="ABO43" s="62"/>
      <c r="ABP43" s="62"/>
      <c r="ABQ43" s="62"/>
      <c r="ABR43" s="62"/>
      <c r="ABS43" s="62"/>
      <c r="ABT43" s="62"/>
      <c r="ABU43" s="62"/>
      <c r="ABV43" s="62"/>
      <c r="ABW43" s="62"/>
      <c r="ABX43" s="62"/>
      <c r="ABY43" s="62"/>
      <c r="ABZ43" s="62"/>
      <c r="ACA43" s="62"/>
      <c r="ACB43" s="62"/>
      <c r="ACC43" s="62"/>
      <c r="ACD43" s="62"/>
      <c r="ACE43" s="62"/>
      <c r="ACF43" s="62"/>
      <c r="ACG43" s="62"/>
      <c r="ACH43" s="62"/>
      <c r="ACI43" s="62"/>
      <c r="ACJ43" s="62"/>
      <c r="ACK43" s="62"/>
      <c r="ACL43" s="62"/>
      <c r="ACM43" s="62"/>
      <c r="ACN43" s="62"/>
      <c r="ACO43" s="62"/>
      <c r="ACP43" s="62"/>
      <c r="ACQ43" s="62"/>
      <c r="ACR43" s="62"/>
      <c r="ACS43" s="62"/>
      <c r="ACT43" s="62"/>
      <c r="ACU43" s="62"/>
      <c r="ACV43" s="62"/>
      <c r="ACW43" s="62"/>
      <c r="ACX43" s="62"/>
      <c r="ACY43" s="62"/>
      <c r="ACZ43" s="62"/>
      <c r="ADA43" s="62"/>
      <c r="ADB43" s="62"/>
      <c r="ADC43" s="62"/>
      <c r="ADD43" s="62"/>
      <c r="ADE43" s="62"/>
      <c r="ADF43" s="62"/>
      <c r="ADG43" s="62"/>
      <c r="ADH43" s="62"/>
      <c r="ADI43" s="62"/>
      <c r="ADJ43" s="62"/>
      <c r="ADK43" s="62"/>
      <c r="ADL43" s="62"/>
      <c r="ADM43" s="62"/>
      <c r="ADN43" s="62"/>
      <c r="ADO43" s="62"/>
      <c r="ADP43" s="62"/>
      <c r="ADQ43" s="62"/>
      <c r="ADR43" s="62"/>
      <c r="ADS43" s="62"/>
      <c r="ADT43" s="62"/>
      <c r="ADU43" s="62"/>
      <c r="ADV43" s="62"/>
      <c r="ADW43" s="62"/>
      <c r="ADX43" s="62"/>
      <c r="ADY43" s="62"/>
      <c r="ADZ43" s="62"/>
      <c r="AEA43" s="62"/>
      <c r="AEB43" s="62"/>
      <c r="AEC43" s="62"/>
      <c r="AED43" s="62"/>
      <c r="AEE43" s="62"/>
      <c r="AEF43" s="62"/>
      <c r="AEG43" s="62"/>
      <c r="AEH43" s="62"/>
      <c r="AEI43" s="62"/>
      <c r="AEJ43" s="62"/>
      <c r="AEK43" s="62"/>
      <c r="AEL43" s="62"/>
      <c r="AEM43" s="62"/>
      <c r="AEN43" s="62"/>
      <c r="AEO43" s="62"/>
      <c r="AEP43" s="62"/>
      <c r="AEQ43" s="62"/>
      <c r="AER43" s="62"/>
      <c r="AES43" s="62"/>
      <c r="AET43" s="62"/>
      <c r="AEU43" s="62"/>
      <c r="AEV43" s="62"/>
      <c r="AEW43" s="62"/>
      <c r="AEX43" s="62"/>
      <c r="AEY43" s="62"/>
      <c r="AEZ43" s="62"/>
      <c r="AFA43" s="62"/>
      <c r="AFB43" s="62"/>
      <c r="AFC43" s="62"/>
      <c r="AFD43" s="62"/>
      <c r="AFE43" s="62"/>
      <c r="AFF43" s="62"/>
      <c r="AFG43" s="62"/>
      <c r="AFH43" s="62"/>
      <c r="AFI43" s="62"/>
      <c r="AFJ43" s="62"/>
      <c r="AFK43" s="62"/>
      <c r="AFL43" s="62"/>
      <c r="AFM43" s="62"/>
      <c r="AFN43" s="62"/>
      <c r="AFO43" s="62"/>
      <c r="AFP43" s="62"/>
      <c r="AFQ43" s="62"/>
      <c r="AFR43" s="62"/>
      <c r="AFS43" s="62"/>
      <c r="AFT43" s="62"/>
      <c r="AFU43" s="62"/>
      <c r="AFV43" s="62"/>
      <c r="AFW43" s="62"/>
      <c r="AFX43" s="62"/>
      <c r="AFY43" s="62"/>
      <c r="AFZ43" s="62"/>
      <c r="AGA43" s="62"/>
      <c r="AGB43" s="62"/>
      <c r="AGC43" s="62"/>
      <c r="AGD43" s="62"/>
      <c r="AGE43" s="62"/>
      <c r="AGF43" s="62"/>
      <c r="AGG43" s="62"/>
      <c r="AGH43" s="62"/>
      <c r="AGI43" s="62"/>
      <c r="AGJ43" s="62"/>
      <c r="AGK43" s="62"/>
      <c r="AGL43" s="62"/>
      <c r="AGM43" s="62"/>
      <c r="AGN43" s="62"/>
      <c r="AGO43" s="62"/>
      <c r="AGP43" s="62"/>
      <c r="AGQ43" s="62"/>
      <c r="AGR43" s="62"/>
      <c r="AGS43" s="62"/>
      <c r="AGT43" s="62"/>
      <c r="AGU43" s="62"/>
      <c r="AGV43" s="62"/>
      <c r="AGW43" s="62"/>
      <c r="AGX43" s="62"/>
      <c r="AGY43" s="62"/>
      <c r="AGZ43" s="62"/>
      <c r="AHA43" s="62"/>
      <c r="AHB43" s="62"/>
      <c r="AHC43" s="62"/>
      <c r="AHD43" s="62"/>
      <c r="AHE43" s="62"/>
      <c r="AHF43" s="62"/>
      <c r="AHG43" s="62"/>
      <c r="AHH43" s="62"/>
      <c r="AHI43" s="62"/>
      <c r="AHJ43" s="62"/>
      <c r="AHK43" s="62"/>
      <c r="AHL43" s="62"/>
      <c r="AHM43" s="62"/>
      <c r="AHN43" s="62"/>
      <c r="AHO43" s="62"/>
      <c r="AHP43" s="62"/>
      <c r="AHQ43" s="62"/>
      <c r="AHR43" s="62"/>
      <c r="AHS43" s="62"/>
      <c r="AHT43" s="62"/>
      <c r="AHU43" s="62"/>
      <c r="AHV43" s="62"/>
      <c r="AHW43" s="62"/>
      <c r="AHX43" s="62"/>
      <c r="AHY43" s="62"/>
      <c r="AHZ43" s="62"/>
      <c r="AIA43" s="62"/>
      <c r="AIB43" s="62"/>
      <c r="AIC43" s="62"/>
      <c r="AID43" s="62"/>
      <c r="AIE43" s="62"/>
      <c r="AIF43" s="62"/>
      <c r="AIG43" s="62"/>
      <c r="AIH43" s="62"/>
      <c r="AII43" s="62"/>
      <c r="AIJ43" s="62"/>
      <c r="AIK43" s="62"/>
      <c r="AIL43" s="62"/>
      <c r="AIM43" s="62"/>
      <c r="AIN43" s="62"/>
      <c r="AIO43" s="62"/>
      <c r="AIP43" s="62"/>
      <c r="AIQ43" s="62"/>
      <c r="AIR43" s="62"/>
      <c r="AIS43" s="62"/>
      <c r="AIT43" s="62"/>
      <c r="AIU43" s="62"/>
      <c r="AIV43" s="62"/>
      <c r="AIW43" s="62"/>
      <c r="AIX43" s="62"/>
      <c r="AIY43" s="62"/>
      <c r="AIZ43" s="62"/>
      <c r="AJA43" s="62"/>
      <c r="AJB43" s="62"/>
      <c r="AJC43" s="62"/>
      <c r="AJD43" s="62"/>
      <c r="AJE43" s="62"/>
      <c r="AJF43" s="62"/>
      <c r="AJG43" s="62"/>
      <c r="AJH43" s="62"/>
      <c r="AJI43" s="62"/>
      <c r="AJJ43" s="62"/>
      <c r="AJK43" s="62"/>
      <c r="AJL43" s="62"/>
      <c r="AJM43" s="62"/>
      <c r="AJN43" s="62"/>
      <c r="AJO43" s="62"/>
      <c r="AJP43" s="62"/>
      <c r="AJQ43" s="62"/>
      <c r="AJR43" s="62"/>
      <c r="AJS43" s="62"/>
      <c r="AJT43" s="62"/>
      <c r="AJU43" s="62"/>
      <c r="AJV43" s="62"/>
      <c r="AJW43" s="62"/>
      <c r="AJX43" s="62"/>
      <c r="AJY43" s="62"/>
      <c r="AJZ43" s="62"/>
      <c r="AKA43" s="62"/>
      <c r="AKB43" s="62"/>
      <c r="AKC43" s="62"/>
      <c r="AKD43" s="62"/>
      <c r="AKE43" s="62"/>
      <c r="AKF43" s="62"/>
      <c r="AKG43" s="62"/>
      <c r="AKH43" s="62"/>
      <c r="AKI43" s="62"/>
      <c r="AKJ43" s="62"/>
      <c r="AKK43" s="62"/>
      <c r="AKL43" s="62"/>
      <c r="AKM43" s="62"/>
      <c r="AKN43" s="62"/>
      <c r="AKO43" s="62"/>
      <c r="AKP43" s="62"/>
      <c r="AKQ43" s="62"/>
      <c r="AKR43" s="62"/>
      <c r="AKS43" s="62"/>
      <c r="AKT43" s="62"/>
      <c r="AKU43" s="62"/>
      <c r="AKV43" s="62"/>
      <c r="AKW43" s="62"/>
      <c r="AKX43" s="62"/>
      <c r="AKY43" s="62"/>
      <c r="AKZ43" s="62"/>
      <c r="ALA43" s="62"/>
      <c r="ALB43" s="62"/>
      <c r="ALC43" s="62"/>
      <c r="ALD43" s="62"/>
      <c r="ALE43" s="62"/>
      <c r="ALF43" s="62"/>
      <c r="ALG43" s="62"/>
      <c r="ALH43" s="62"/>
      <c r="ALI43" s="62"/>
      <c r="ALJ43" s="62"/>
      <c r="ALK43" s="62"/>
      <c r="ALL43" s="62"/>
      <c r="ALM43" s="62"/>
      <c r="ALN43" s="62"/>
      <c r="ALO43" s="62"/>
      <c r="ALP43" s="62"/>
      <c r="ALQ43" s="62"/>
      <c r="ALR43" s="62"/>
      <c r="ALS43" s="62"/>
      <c r="ALT43" s="62"/>
      <c r="ALU43" s="62"/>
      <c r="ALV43" s="62"/>
      <c r="ALW43" s="62"/>
      <c r="ALX43" s="62"/>
      <c r="ALY43" s="62"/>
      <c r="ALZ43" s="62"/>
      <c r="AMA43" s="62"/>
      <c r="AMB43" s="62"/>
      <c r="AMC43" s="62"/>
      <c r="AMD43" s="62"/>
      <c r="AME43" s="62"/>
      <c r="AMF43" s="62"/>
      <c r="AMG43" s="62"/>
      <c r="AMH43" s="62"/>
      <c r="AMI43" s="62"/>
      <c r="AMJ43" s="62"/>
    </row>
    <row r="44" spans="1:12" ht="15">
      <c r="A44" s="62"/>
      <c r="B44" s="57"/>
      <c r="C44" s="698" t="s">
        <v>1370</v>
      </c>
      <c r="D44" s="698"/>
      <c r="E44" s="698"/>
      <c r="F44" s="58">
        <f t="shared" si="0"/>
        <v>1150000</v>
      </c>
      <c r="G44" s="58">
        <f>'2.5. Všeobecné konstrukce'!G14</f>
        <v>1000000</v>
      </c>
      <c r="H44" s="59"/>
      <c r="I44" s="60">
        <f t="shared" si="1"/>
        <v>150000</v>
      </c>
      <c r="K44" s="61"/>
      <c r="L44" s="61"/>
    </row>
    <row r="45" spans="1:9" ht="17.25" customHeight="1">
      <c r="A45" s="422"/>
      <c r="B45" s="423" t="s">
        <v>19</v>
      </c>
      <c r="C45" s="424"/>
      <c r="D45" s="425"/>
      <c r="E45" s="426"/>
      <c r="F45" s="427">
        <f>SUM(F30:F44)</f>
        <v>1150000</v>
      </c>
      <c r="G45" s="427">
        <f>SUM(G30:G44)</f>
        <v>1000000</v>
      </c>
      <c r="H45" s="427"/>
      <c r="I45" s="427">
        <f>SUM(I30:I44)</f>
        <v>150000</v>
      </c>
    </row>
    <row r="46" spans="2:9" s="62" customFormat="1" ht="17.25" customHeight="1">
      <c r="B46" s="63"/>
      <c r="C46" s="64"/>
      <c r="D46" s="63"/>
      <c r="E46" s="65"/>
      <c r="F46" s="66"/>
      <c r="G46" s="66"/>
      <c r="H46" s="66"/>
      <c r="I46" s="66"/>
    </row>
    <row r="47" spans="1:9" ht="17.4">
      <c r="A47" s="62"/>
      <c r="B47" s="43" t="s">
        <v>20</v>
      </c>
      <c r="C47" s="4"/>
      <c r="D47" s="4"/>
      <c r="E47" s="4"/>
      <c r="F47" s="4"/>
      <c r="G47" s="4"/>
      <c r="H47" s="4"/>
      <c r="I47" s="4"/>
    </row>
    <row r="48" spans="1:9" s="67" customFormat="1" ht="26.25" customHeight="1">
      <c r="A48" s="702" t="s">
        <v>21</v>
      </c>
      <c r="B48" s="702"/>
      <c r="C48" s="702"/>
      <c r="D48" s="702"/>
      <c r="E48" s="702"/>
      <c r="F48" s="702"/>
      <c r="G48" s="702"/>
      <c r="H48" s="702"/>
      <c r="I48" s="702"/>
    </row>
    <row r="49" spans="1:15" s="70" customFormat="1" ht="44.25" customHeight="1">
      <c r="A49" s="703" t="s">
        <v>22</v>
      </c>
      <c r="B49" s="703"/>
      <c r="C49" s="703"/>
      <c r="D49" s="703"/>
      <c r="E49" s="703"/>
      <c r="F49" s="703"/>
      <c r="G49" s="703"/>
      <c r="H49" s="703"/>
      <c r="I49" s="703"/>
      <c r="J49" s="68"/>
      <c r="K49" s="69"/>
      <c r="M49" s="71"/>
      <c r="O49" s="72"/>
    </row>
    <row r="50" spans="1:13" s="70" customFormat="1" ht="24.6" customHeight="1">
      <c r="A50" s="701" t="s">
        <v>23</v>
      </c>
      <c r="B50" s="701"/>
      <c r="C50" s="701"/>
      <c r="D50" s="701"/>
      <c r="E50" s="701"/>
      <c r="F50" s="701"/>
      <c r="G50" s="701"/>
      <c r="H50" s="701"/>
      <c r="I50" s="701"/>
      <c r="J50" s="68"/>
      <c r="K50" s="69"/>
      <c r="M50" s="73"/>
    </row>
  </sheetData>
  <sheetProtection password="DF1B" sheet="1" objects="1" scenarios="1"/>
  <mergeCells count="20">
    <mergeCell ref="A50:I50"/>
    <mergeCell ref="C34:E34"/>
    <mergeCell ref="C36:E36"/>
    <mergeCell ref="C44:E44"/>
    <mergeCell ref="A48:I48"/>
    <mergeCell ref="A49:I49"/>
    <mergeCell ref="C37:E37"/>
    <mergeCell ref="C41:E41"/>
    <mergeCell ref="C43:E43"/>
    <mergeCell ref="C39:E39"/>
    <mergeCell ref="C35:E35"/>
    <mergeCell ref="C38:E38"/>
    <mergeCell ref="C40:E40"/>
    <mergeCell ref="C42:E42"/>
    <mergeCell ref="C33:E33"/>
    <mergeCell ref="B2:I2"/>
    <mergeCell ref="B4:I4"/>
    <mergeCell ref="C30:E30"/>
    <mergeCell ref="C32:E32"/>
    <mergeCell ref="C31:E31"/>
  </mergeCells>
  <printOptions horizontalCentered="1"/>
  <pageMargins left="0.708333333333333" right="0.708333333333333" top="0.747916666666667" bottom="0.747916666666667" header="0.511805555555555" footer="0.511805555555555"/>
  <pageSetup fitToHeight="99" fitToWidth="1" horizontalDpi="300" verticalDpi="3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workbookViewId="0" topLeftCell="A1">
      <selection activeCell="L22" sqref="L22"/>
    </sheetView>
  </sheetViews>
  <sheetFormatPr defaultColWidth="8.57421875" defaultRowHeight="15"/>
  <cols>
    <col min="1" max="1" width="6.7109375" style="83" customWidth="1"/>
    <col min="2" max="2" width="4.7109375" style="83" customWidth="1"/>
    <col min="3" max="3" width="13.7109375" style="83" customWidth="1"/>
    <col min="4" max="4" width="64.7109375" style="83" customWidth="1"/>
    <col min="5" max="5" width="6.7109375" style="83" customWidth="1"/>
    <col min="6" max="6" width="8.7109375" style="83" customWidth="1"/>
    <col min="7" max="7" width="10.7109375" style="84" customWidth="1"/>
    <col min="8" max="8" width="13.7109375" style="83" customWidth="1"/>
    <col min="9" max="16384" width="8.57421875" style="83" customWidth="1"/>
  </cols>
  <sheetData>
    <row r="1" spans="1:8" ht="21">
      <c r="A1" s="74" t="s">
        <v>1453</v>
      </c>
      <c r="B1" s="75"/>
      <c r="C1" s="75"/>
      <c r="D1" s="75"/>
      <c r="E1" s="75"/>
      <c r="F1" s="75"/>
      <c r="G1" s="85"/>
      <c r="H1" s="75"/>
    </row>
    <row r="2" spans="1:8" ht="15">
      <c r="A2" s="76" t="s">
        <v>28</v>
      </c>
      <c r="B2" s="76"/>
      <c r="C2" s="432"/>
      <c r="D2" s="432"/>
      <c r="E2" s="432"/>
      <c r="F2" s="432"/>
      <c r="G2" s="431"/>
      <c r="H2" s="430"/>
    </row>
    <row r="3" spans="1:3" ht="15">
      <c r="A3" s="76" t="s">
        <v>24</v>
      </c>
      <c r="B3" s="78"/>
      <c r="C3" s="433"/>
    </row>
    <row r="4" spans="1:3" ht="15">
      <c r="A4" s="76" t="s">
        <v>29</v>
      </c>
      <c r="B4" s="78"/>
      <c r="C4" s="433"/>
    </row>
    <row r="5" spans="1:3" ht="15">
      <c r="A5" s="76"/>
      <c r="B5" s="78"/>
      <c r="C5" s="433"/>
    </row>
    <row r="6" spans="1:8" ht="21.6">
      <c r="A6" s="434" t="s">
        <v>30</v>
      </c>
      <c r="B6" s="435" t="s">
        <v>31</v>
      </c>
      <c r="C6" s="435" t="s">
        <v>32</v>
      </c>
      <c r="D6" s="435" t="s">
        <v>33</v>
      </c>
      <c r="E6" s="435" t="s">
        <v>34</v>
      </c>
      <c r="F6" s="435" t="s">
        <v>35</v>
      </c>
      <c r="G6" s="436" t="s">
        <v>36</v>
      </c>
      <c r="H6" s="435" t="s">
        <v>15</v>
      </c>
    </row>
    <row r="7" spans="1:8" ht="15">
      <c r="A7" s="434" t="s">
        <v>37</v>
      </c>
      <c r="B7" s="435" t="s">
        <v>38</v>
      </c>
      <c r="C7" s="435" t="s">
        <v>39</v>
      </c>
      <c r="D7" s="435" t="s">
        <v>40</v>
      </c>
      <c r="E7" s="435" t="s">
        <v>41</v>
      </c>
      <c r="F7" s="435" t="s">
        <v>42</v>
      </c>
      <c r="G7" s="436" t="s">
        <v>43</v>
      </c>
      <c r="H7" s="435">
        <v>8</v>
      </c>
    </row>
    <row r="8" spans="1:8" ht="20.1" customHeight="1">
      <c r="A8" s="437"/>
      <c r="B8" s="438"/>
      <c r="C8" s="438" t="s">
        <v>44</v>
      </c>
      <c r="D8" s="438" t="s">
        <v>45</v>
      </c>
      <c r="E8" s="438"/>
      <c r="F8" s="439"/>
      <c r="G8" s="440"/>
      <c r="H8" s="440">
        <f>H9+H12+H19+H25</f>
        <v>0</v>
      </c>
    </row>
    <row r="9" spans="1:8" ht="15" customHeight="1">
      <c r="A9" s="441"/>
      <c r="B9" s="442"/>
      <c r="C9" s="442">
        <v>2</v>
      </c>
      <c r="D9" s="442" t="s">
        <v>1408</v>
      </c>
      <c r="E9" s="442"/>
      <c r="F9" s="443"/>
      <c r="G9" s="444"/>
      <c r="H9" s="444">
        <f>H10</f>
        <v>0</v>
      </c>
    </row>
    <row r="10" spans="1:10" s="114" customFormat="1" ht="13.5" customHeight="1">
      <c r="A10" s="445">
        <v>1</v>
      </c>
      <c r="B10" s="455">
        <v>271</v>
      </c>
      <c r="C10" s="446">
        <v>271572211</v>
      </c>
      <c r="D10" s="446" t="s">
        <v>1409</v>
      </c>
      <c r="E10" s="446" t="s">
        <v>51</v>
      </c>
      <c r="F10" s="447">
        <f>F11</f>
        <v>0.1</v>
      </c>
      <c r="G10" s="673"/>
      <c r="H10" s="448">
        <f>F10*G10</f>
        <v>0</v>
      </c>
      <c r="J10" s="123"/>
    </row>
    <row r="11" spans="1:10" s="114" customFormat="1" ht="13.5" customHeight="1">
      <c r="A11" s="457"/>
      <c r="B11" s="449"/>
      <c r="C11" s="449"/>
      <c r="D11" s="449" t="s">
        <v>1410</v>
      </c>
      <c r="E11" s="449"/>
      <c r="F11" s="458">
        <v>0.1</v>
      </c>
      <c r="G11" s="677"/>
      <c r="H11" s="459"/>
      <c r="J11" s="123"/>
    </row>
    <row r="12" spans="1:8" ht="15" customHeight="1">
      <c r="A12" s="441"/>
      <c r="B12" s="442"/>
      <c r="C12" s="442">
        <v>4</v>
      </c>
      <c r="D12" s="442" t="s">
        <v>80</v>
      </c>
      <c r="E12" s="442"/>
      <c r="F12" s="443"/>
      <c r="G12" s="678"/>
      <c r="H12" s="444">
        <f>SUM(H13:H18)</f>
        <v>0</v>
      </c>
    </row>
    <row r="13" spans="1:8" s="123" customFormat="1" ht="13.5" customHeight="1">
      <c r="A13" s="445">
        <v>3</v>
      </c>
      <c r="B13" s="446">
        <v>430</v>
      </c>
      <c r="C13" s="446">
        <v>430321515</v>
      </c>
      <c r="D13" s="446" t="s">
        <v>99</v>
      </c>
      <c r="E13" s="446" t="s">
        <v>51</v>
      </c>
      <c r="F13" s="447">
        <f>SUM(F14:F14)</f>
        <v>0.2</v>
      </c>
      <c r="G13" s="673"/>
      <c r="H13" s="448">
        <f>F13*G13</f>
        <v>0</v>
      </c>
    </row>
    <row r="14" spans="1:10" s="114" customFormat="1" ht="13.5" customHeight="1">
      <c r="A14" s="457"/>
      <c r="B14" s="449"/>
      <c r="C14" s="449"/>
      <c r="D14" s="449" t="s">
        <v>1411</v>
      </c>
      <c r="E14" s="449"/>
      <c r="F14" s="458">
        <v>0.2</v>
      </c>
      <c r="G14" s="677"/>
      <c r="H14" s="459"/>
      <c r="J14" s="123"/>
    </row>
    <row r="15" spans="1:8" s="123" customFormat="1" ht="13.5" customHeight="1">
      <c r="A15" s="445">
        <v>5</v>
      </c>
      <c r="B15" s="446">
        <v>430</v>
      </c>
      <c r="C15" s="446">
        <v>434351141</v>
      </c>
      <c r="D15" s="446" t="s">
        <v>104</v>
      </c>
      <c r="E15" s="446" t="s">
        <v>48</v>
      </c>
      <c r="F15" s="447">
        <f>SUM(F16:F16)</f>
        <v>0.6</v>
      </c>
      <c r="G15" s="673"/>
      <c r="H15" s="448">
        <f>F15*G15</f>
        <v>0</v>
      </c>
    </row>
    <row r="16" spans="1:10" s="114" customFormat="1" ht="13.5" customHeight="1">
      <c r="A16" s="457"/>
      <c r="B16" s="449"/>
      <c r="C16" s="449"/>
      <c r="D16" s="449" t="s">
        <v>1412</v>
      </c>
      <c r="E16" s="449"/>
      <c r="F16" s="458">
        <v>0.6</v>
      </c>
      <c r="G16" s="677"/>
      <c r="H16" s="459"/>
      <c r="J16" s="123"/>
    </row>
    <row r="17" spans="1:8" s="123" customFormat="1" ht="13.5" customHeight="1">
      <c r="A17" s="445">
        <v>6</v>
      </c>
      <c r="B17" s="446">
        <v>434</v>
      </c>
      <c r="C17" s="446">
        <v>434351142</v>
      </c>
      <c r="D17" s="446" t="s">
        <v>107</v>
      </c>
      <c r="E17" s="446" t="s">
        <v>48</v>
      </c>
      <c r="F17" s="447">
        <f>F18</f>
        <v>0.6</v>
      </c>
      <c r="G17" s="673"/>
      <c r="H17" s="448">
        <f>F17*G17</f>
        <v>0</v>
      </c>
    </row>
    <row r="18" spans="1:10" s="114" customFormat="1" ht="13.5" customHeight="1">
      <c r="A18" s="457"/>
      <c r="B18" s="449"/>
      <c r="C18" s="449"/>
      <c r="D18" s="449" t="s">
        <v>108</v>
      </c>
      <c r="E18" s="449"/>
      <c r="F18" s="458">
        <f>F15</f>
        <v>0.6</v>
      </c>
      <c r="G18" s="677"/>
      <c r="H18" s="459"/>
      <c r="J18" s="123"/>
    </row>
    <row r="19" spans="1:8" ht="15" customHeight="1">
      <c r="A19" s="441"/>
      <c r="B19" s="442"/>
      <c r="C19" s="442">
        <v>9</v>
      </c>
      <c r="D19" s="442" t="s">
        <v>136</v>
      </c>
      <c r="E19" s="442"/>
      <c r="F19" s="443"/>
      <c r="G19" s="678"/>
      <c r="H19" s="444">
        <f>SUM(H20:H24)</f>
        <v>0</v>
      </c>
    </row>
    <row r="20" spans="1:10" s="114" customFormat="1" ht="27" customHeight="1">
      <c r="A20" s="445">
        <v>8</v>
      </c>
      <c r="B20" s="455">
        <v>916</v>
      </c>
      <c r="C20" s="446">
        <v>916231212</v>
      </c>
      <c r="D20" s="446" t="s">
        <v>1413</v>
      </c>
      <c r="E20" s="446" t="s">
        <v>139</v>
      </c>
      <c r="F20" s="447">
        <f>F21</f>
        <v>1.5</v>
      </c>
      <c r="G20" s="673"/>
      <c r="H20" s="448">
        <f>F20*G20</f>
        <v>0</v>
      </c>
      <c r="J20" s="123"/>
    </row>
    <row r="21" spans="1:10" s="114" customFormat="1" ht="13.5" customHeight="1">
      <c r="A21" s="457"/>
      <c r="B21" s="449"/>
      <c r="C21" s="449"/>
      <c r="D21" s="449" t="s">
        <v>1414</v>
      </c>
      <c r="E21" s="449"/>
      <c r="F21" s="458">
        <v>1.5</v>
      </c>
      <c r="G21" s="677"/>
      <c r="H21" s="459"/>
      <c r="J21" s="117"/>
    </row>
    <row r="22" spans="1:10" s="116" customFormat="1" ht="13.5" customHeight="1">
      <c r="A22" s="451">
        <v>9</v>
      </c>
      <c r="B22" s="456">
        <v>592</v>
      </c>
      <c r="C22" s="452">
        <v>59217017</v>
      </c>
      <c r="D22" s="452" t="s">
        <v>1415</v>
      </c>
      <c r="E22" s="452" t="s">
        <v>139</v>
      </c>
      <c r="F22" s="453">
        <f>F20</f>
        <v>1.5</v>
      </c>
      <c r="G22" s="679"/>
      <c r="H22" s="454">
        <f>F22*G22</f>
        <v>0</v>
      </c>
      <c r="J22" s="109"/>
    </row>
    <row r="23" spans="1:10" s="114" customFormat="1" ht="13.5" customHeight="1">
      <c r="A23" s="445"/>
      <c r="B23" s="455" t="s">
        <v>1364</v>
      </c>
      <c r="C23" s="446">
        <v>997013831</v>
      </c>
      <c r="D23" s="446" t="s">
        <v>1363</v>
      </c>
      <c r="E23" s="446" t="s">
        <v>66</v>
      </c>
      <c r="F23" s="447">
        <f>F24</f>
        <v>280</v>
      </c>
      <c r="G23" s="673"/>
      <c r="H23" s="448">
        <f>F23*G23</f>
        <v>0</v>
      </c>
      <c r="J23" s="123"/>
    </row>
    <row r="24" spans="1:10" s="114" customFormat="1" ht="13.5" customHeight="1">
      <c r="A24" s="457"/>
      <c r="B24" s="449"/>
      <c r="C24" s="449"/>
      <c r="D24" s="449" t="s">
        <v>1365</v>
      </c>
      <c r="E24" s="449"/>
      <c r="F24" s="458">
        <v>280</v>
      </c>
      <c r="G24" s="677"/>
      <c r="H24" s="459"/>
      <c r="J24" s="117"/>
    </row>
    <row r="25" spans="1:8" ht="15" customHeight="1">
      <c r="A25" s="441"/>
      <c r="B25" s="442"/>
      <c r="C25" s="442" t="s">
        <v>196</v>
      </c>
      <c r="D25" s="442" t="s">
        <v>197</v>
      </c>
      <c r="E25" s="442"/>
      <c r="F25" s="443"/>
      <c r="G25" s="678"/>
      <c r="H25" s="444">
        <f>SUM(H26:H26)</f>
        <v>0</v>
      </c>
    </row>
    <row r="26" spans="1:10" s="114" customFormat="1" ht="13.5" customHeight="1">
      <c r="A26" s="445">
        <v>10</v>
      </c>
      <c r="B26" s="446">
        <v>998</v>
      </c>
      <c r="C26" s="446">
        <v>998011002</v>
      </c>
      <c r="D26" s="446" t="s">
        <v>198</v>
      </c>
      <c r="E26" s="446" t="s">
        <v>66</v>
      </c>
      <c r="F26" s="447">
        <v>3.6</v>
      </c>
      <c r="G26" s="673"/>
      <c r="H26" s="448">
        <f>F26*G26</f>
        <v>0</v>
      </c>
      <c r="J26" s="123"/>
    </row>
    <row r="27" spans="1:10" ht="20.1" customHeight="1">
      <c r="A27" s="437"/>
      <c r="B27" s="438"/>
      <c r="C27" s="438" t="s">
        <v>204</v>
      </c>
      <c r="D27" s="438" t="s">
        <v>205</v>
      </c>
      <c r="E27" s="438"/>
      <c r="F27" s="439"/>
      <c r="G27" s="680"/>
      <c r="H27" s="440">
        <f>H28+H32+H36+H49</f>
        <v>0</v>
      </c>
      <c r="J27" s="123"/>
    </row>
    <row r="28" spans="1:8" ht="15" customHeight="1">
      <c r="A28" s="441"/>
      <c r="B28" s="442"/>
      <c r="C28" s="442">
        <v>766</v>
      </c>
      <c r="D28" s="442" t="s">
        <v>461</v>
      </c>
      <c r="E28" s="442"/>
      <c r="F28" s="443"/>
      <c r="G28" s="678"/>
      <c r="H28" s="444">
        <f>SUM(H29:H31)</f>
        <v>0</v>
      </c>
    </row>
    <row r="29" spans="1:10" s="114" customFormat="1" ht="13.5" customHeight="1">
      <c r="A29" s="445">
        <v>13</v>
      </c>
      <c r="B29" s="446">
        <v>766</v>
      </c>
      <c r="C29" s="446" t="s">
        <v>561</v>
      </c>
      <c r="D29" s="446" t="s">
        <v>562</v>
      </c>
      <c r="E29" s="446" t="s">
        <v>25</v>
      </c>
      <c r="F29" s="447">
        <f>F30</f>
        <v>103</v>
      </c>
      <c r="G29" s="673"/>
      <c r="H29" s="448">
        <f>F29*G29</f>
        <v>0</v>
      </c>
      <c r="J29" s="123"/>
    </row>
    <row r="30" spans="1:10" s="114" customFormat="1" ht="13.5" customHeight="1">
      <c r="A30" s="457"/>
      <c r="B30" s="449"/>
      <c r="C30" s="449"/>
      <c r="D30" s="449" t="s">
        <v>563</v>
      </c>
      <c r="E30" s="449"/>
      <c r="F30" s="458">
        <v>103</v>
      </c>
      <c r="G30" s="677"/>
      <c r="H30" s="459"/>
      <c r="J30" s="117"/>
    </row>
    <row r="31" spans="1:10" s="114" customFormat="1" ht="13.5" customHeight="1">
      <c r="A31" s="457"/>
      <c r="B31" s="449"/>
      <c r="C31" s="449"/>
      <c r="D31" s="449" t="s">
        <v>564</v>
      </c>
      <c r="E31" s="449"/>
      <c r="F31" s="458"/>
      <c r="G31" s="677"/>
      <c r="H31" s="459"/>
      <c r="J31" s="117"/>
    </row>
    <row r="32" spans="1:8" ht="15" customHeight="1">
      <c r="A32" s="441"/>
      <c r="B32" s="442"/>
      <c r="C32" s="442">
        <v>772</v>
      </c>
      <c r="D32" s="442" t="s">
        <v>703</v>
      </c>
      <c r="E32" s="442"/>
      <c r="F32" s="443"/>
      <c r="G32" s="678"/>
      <c r="H32" s="444">
        <f>SUM(H33:H35)</f>
        <v>0</v>
      </c>
    </row>
    <row r="33" spans="1:10" s="114" customFormat="1" ht="13.5" customHeight="1">
      <c r="A33" s="445">
        <v>34</v>
      </c>
      <c r="B33" s="446">
        <v>772</v>
      </c>
      <c r="C33" s="446">
        <v>772231316</v>
      </c>
      <c r="D33" s="446" t="s">
        <v>704</v>
      </c>
      <c r="E33" s="446" t="s">
        <v>139</v>
      </c>
      <c r="F33" s="447">
        <f>SUM(F34:F34)</f>
        <v>1</v>
      </c>
      <c r="G33" s="673"/>
      <c r="H33" s="448">
        <f>F33*G33</f>
        <v>0</v>
      </c>
      <c r="J33" s="123"/>
    </row>
    <row r="34" spans="1:10" s="114" customFormat="1" ht="13.5" customHeight="1">
      <c r="A34" s="457"/>
      <c r="B34" s="449"/>
      <c r="C34" s="449"/>
      <c r="D34" s="449" t="s">
        <v>1416</v>
      </c>
      <c r="E34" s="449"/>
      <c r="F34" s="458">
        <v>1</v>
      </c>
      <c r="G34" s="677"/>
      <c r="H34" s="459"/>
      <c r="J34" s="117"/>
    </row>
    <row r="35" spans="1:10" s="116" customFormat="1" ht="13.5" customHeight="1">
      <c r="A35" s="451">
        <v>35</v>
      </c>
      <c r="B35" s="452">
        <v>583</v>
      </c>
      <c r="C35" s="452">
        <v>58387035</v>
      </c>
      <c r="D35" s="452" t="s">
        <v>707</v>
      </c>
      <c r="E35" s="452" t="s">
        <v>139</v>
      </c>
      <c r="F35" s="453">
        <f>F33</f>
        <v>1</v>
      </c>
      <c r="G35" s="679"/>
      <c r="H35" s="454">
        <f>F35*G35</f>
        <v>0</v>
      </c>
      <c r="J35" s="109"/>
    </row>
    <row r="36" spans="1:8" ht="15" customHeight="1">
      <c r="A36" s="441"/>
      <c r="B36" s="442"/>
      <c r="C36" s="442">
        <v>786</v>
      </c>
      <c r="D36" s="442" t="s">
        <v>731</v>
      </c>
      <c r="E36" s="442"/>
      <c r="F36" s="443"/>
      <c r="G36" s="678"/>
      <c r="H36" s="444">
        <f>SUM(H37:H48)</f>
        <v>0</v>
      </c>
    </row>
    <row r="37" spans="1:10" s="114" customFormat="1" ht="13.5" customHeight="1">
      <c r="A37" s="445">
        <v>40</v>
      </c>
      <c r="B37" s="446">
        <v>786</v>
      </c>
      <c r="C37" s="446" t="s">
        <v>732</v>
      </c>
      <c r="D37" s="446" t="s">
        <v>733</v>
      </c>
      <c r="E37" s="446" t="s">
        <v>25</v>
      </c>
      <c r="F37" s="447">
        <f>F38</f>
        <v>118</v>
      </c>
      <c r="G37" s="673"/>
      <c r="H37" s="448">
        <f>F37*G37</f>
        <v>0</v>
      </c>
      <c r="J37" s="123"/>
    </row>
    <row r="38" spans="1:10" s="114" customFormat="1" ht="13.5" customHeight="1">
      <c r="A38" s="445"/>
      <c r="B38" s="446"/>
      <c r="C38" s="446"/>
      <c r="D38" s="449" t="s">
        <v>734</v>
      </c>
      <c r="E38" s="446"/>
      <c r="F38" s="450">
        <v>118</v>
      </c>
      <c r="G38" s="673"/>
      <c r="H38" s="448"/>
      <c r="J38" s="123"/>
    </row>
    <row r="39" spans="1:10" s="114" customFormat="1" ht="13.5" customHeight="1">
      <c r="A39" s="445"/>
      <c r="B39" s="446"/>
      <c r="C39" s="446"/>
      <c r="D39" s="449" t="s">
        <v>412</v>
      </c>
      <c r="E39" s="446"/>
      <c r="F39" s="450"/>
      <c r="G39" s="673"/>
      <c r="H39" s="448"/>
      <c r="J39" s="123"/>
    </row>
    <row r="40" spans="1:10" s="114" customFormat="1" ht="13.5" customHeight="1">
      <c r="A40" s="445">
        <v>41</v>
      </c>
      <c r="B40" s="446">
        <v>786</v>
      </c>
      <c r="C40" s="446" t="s">
        <v>735</v>
      </c>
      <c r="D40" s="446" t="s">
        <v>736</v>
      </c>
      <c r="E40" s="446" t="s">
        <v>25</v>
      </c>
      <c r="F40" s="447">
        <f>F41</f>
        <v>12</v>
      </c>
      <c r="G40" s="673"/>
      <c r="H40" s="448">
        <f>F40*G40</f>
        <v>0</v>
      </c>
      <c r="J40" s="123"/>
    </row>
    <row r="41" spans="1:10" s="114" customFormat="1" ht="13.5" customHeight="1">
      <c r="A41" s="445"/>
      <c r="B41" s="446"/>
      <c r="C41" s="446"/>
      <c r="D41" s="449" t="s">
        <v>734</v>
      </c>
      <c r="E41" s="446"/>
      <c r="F41" s="450">
        <v>12</v>
      </c>
      <c r="G41" s="673"/>
      <c r="H41" s="448"/>
      <c r="J41" s="123"/>
    </row>
    <row r="42" spans="1:10" s="114" customFormat="1" ht="13.5" customHeight="1">
      <c r="A42" s="445"/>
      <c r="B42" s="446"/>
      <c r="C42" s="446"/>
      <c r="D42" s="449" t="s">
        <v>412</v>
      </c>
      <c r="E42" s="446"/>
      <c r="F42" s="450"/>
      <c r="G42" s="673"/>
      <c r="H42" s="448"/>
      <c r="J42" s="123"/>
    </row>
    <row r="43" spans="1:10" s="114" customFormat="1" ht="13.5" customHeight="1">
      <c r="A43" s="445">
        <v>42</v>
      </c>
      <c r="B43" s="446">
        <v>786</v>
      </c>
      <c r="C43" s="446" t="s">
        <v>737</v>
      </c>
      <c r="D43" s="446" t="s">
        <v>738</v>
      </c>
      <c r="E43" s="446" t="s">
        <v>25</v>
      </c>
      <c r="F43" s="447">
        <f>F44</f>
        <v>20</v>
      </c>
      <c r="G43" s="673"/>
      <c r="H43" s="448">
        <f>F43*G43</f>
        <v>0</v>
      </c>
      <c r="J43" s="123"/>
    </row>
    <row r="44" spans="1:10" s="114" customFormat="1" ht="13.5" customHeight="1">
      <c r="A44" s="445"/>
      <c r="B44" s="446"/>
      <c r="C44" s="446"/>
      <c r="D44" s="449" t="s">
        <v>734</v>
      </c>
      <c r="E44" s="446"/>
      <c r="F44" s="450">
        <v>20</v>
      </c>
      <c r="G44" s="673"/>
      <c r="H44" s="448"/>
      <c r="J44" s="123"/>
    </row>
    <row r="45" spans="1:10" s="114" customFormat="1" ht="13.5" customHeight="1">
      <c r="A45" s="445"/>
      <c r="B45" s="446"/>
      <c r="C45" s="446"/>
      <c r="D45" s="449" t="s">
        <v>412</v>
      </c>
      <c r="E45" s="446"/>
      <c r="F45" s="450"/>
      <c r="G45" s="673"/>
      <c r="H45" s="448"/>
      <c r="J45" s="123"/>
    </row>
    <row r="46" spans="1:10" s="114" customFormat="1" ht="13.5" customHeight="1">
      <c r="A46" s="445">
        <v>43</v>
      </c>
      <c r="B46" s="446">
        <v>786</v>
      </c>
      <c r="C46" s="446" t="s">
        <v>739</v>
      </c>
      <c r="D46" s="446" t="s">
        <v>740</v>
      </c>
      <c r="E46" s="446" t="s">
        <v>25</v>
      </c>
      <c r="F46" s="447">
        <f>F47</f>
        <v>20</v>
      </c>
      <c r="G46" s="673"/>
      <c r="H46" s="448">
        <f>F46*G46</f>
        <v>0</v>
      </c>
      <c r="J46" s="123"/>
    </row>
    <row r="47" spans="1:10" s="114" customFormat="1" ht="13.5" customHeight="1">
      <c r="A47" s="445"/>
      <c r="B47" s="446"/>
      <c r="C47" s="446"/>
      <c r="D47" s="449" t="s">
        <v>734</v>
      </c>
      <c r="E47" s="446"/>
      <c r="F47" s="450">
        <v>20</v>
      </c>
      <c r="G47" s="673"/>
      <c r="H47" s="448"/>
      <c r="J47" s="123"/>
    </row>
    <row r="48" spans="1:10" s="114" customFormat="1" ht="13.5" customHeight="1">
      <c r="A48" s="445"/>
      <c r="B48" s="446"/>
      <c r="C48" s="446"/>
      <c r="D48" s="449" t="s">
        <v>412</v>
      </c>
      <c r="E48" s="446"/>
      <c r="F48" s="450"/>
      <c r="G48" s="673"/>
      <c r="H48" s="448"/>
      <c r="J48" s="123"/>
    </row>
    <row r="49" spans="1:8" ht="15" customHeight="1">
      <c r="A49" s="441"/>
      <c r="B49" s="442"/>
      <c r="C49" s="442">
        <v>790</v>
      </c>
      <c r="D49" s="442" t="s">
        <v>136</v>
      </c>
      <c r="E49" s="442"/>
      <c r="F49" s="443"/>
      <c r="G49" s="678"/>
      <c r="H49" s="444">
        <f>SUM(H50:H51)</f>
        <v>0</v>
      </c>
    </row>
    <row r="50" spans="1:10" s="114" customFormat="1" ht="13.5" customHeight="1">
      <c r="A50" s="445">
        <v>58</v>
      </c>
      <c r="B50" s="455" t="s">
        <v>775</v>
      </c>
      <c r="C50" s="446" t="s">
        <v>1417</v>
      </c>
      <c r="D50" s="446" t="s">
        <v>1418</v>
      </c>
      <c r="E50" s="446" t="s">
        <v>25</v>
      </c>
      <c r="F50" s="447">
        <f>F51</f>
        <v>27</v>
      </c>
      <c r="G50" s="673"/>
      <c r="H50" s="448">
        <f>F50*G50</f>
        <v>0</v>
      </c>
      <c r="J50" s="123"/>
    </row>
    <row r="51" spans="1:10" s="114" customFormat="1" ht="27" customHeight="1">
      <c r="A51" s="457"/>
      <c r="B51" s="449"/>
      <c r="C51" s="449"/>
      <c r="D51" s="449" t="s">
        <v>1419</v>
      </c>
      <c r="E51" s="449"/>
      <c r="F51" s="458">
        <v>27</v>
      </c>
      <c r="G51" s="677"/>
      <c r="H51" s="459"/>
      <c r="J51" s="117"/>
    </row>
    <row r="52" spans="1:8" ht="13.5" customHeight="1">
      <c r="A52" s="463"/>
      <c r="B52" s="464"/>
      <c r="C52" s="464"/>
      <c r="D52" s="464"/>
      <c r="E52" s="464"/>
      <c r="F52" s="465"/>
      <c r="G52" s="466"/>
      <c r="H52" s="466"/>
    </row>
    <row r="53" spans="1:8" ht="15">
      <c r="A53" s="706" t="s">
        <v>860</v>
      </c>
      <c r="B53" s="706"/>
      <c r="C53" s="706"/>
      <c r="D53" s="467"/>
      <c r="E53" s="468"/>
      <c r="F53" s="469"/>
      <c r="G53" s="470"/>
      <c r="H53" s="471">
        <f>H27+H8</f>
        <v>0</v>
      </c>
    </row>
    <row r="54" spans="1:8" ht="15">
      <c r="A54" s="472"/>
      <c r="B54" s="473"/>
      <c r="C54" s="473"/>
      <c r="D54" s="464"/>
      <c r="E54" s="474"/>
      <c r="F54" s="475"/>
      <c r="G54" s="476"/>
      <c r="H54" s="466"/>
    </row>
    <row r="55" spans="1:8" ht="15">
      <c r="A55" s="477" t="s">
        <v>20</v>
      </c>
      <c r="B55" s="477"/>
      <c r="C55" s="477"/>
      <c r="D55" s="477"/>
      <c r="E55" s="477"/>
      <c r="F55" s="477"/>
      <c r="G55" s="478"/>
      <c r="H55" s="477"/>
    </row>
    <row r="56" spans="1:8" ht="27" customHeight="1">
      <c r="A56" s="707" t="s">
        <v>27</v>
      </c>
      <c r="B56" s="707"/>
      <c r="C56" s="707"/>
      <c r="D56" s="707"/>
      <c r="E56" s="707"/>
      <c r="F56" s="707"/>
      <c r="G56" s="707"/>
      <c r="H56" s="477"/>
    </row>
  </sheetData>
  <sheetProtection sheet="1" objects="1" scenarios="1"/>
  <mergeCells count="2">
    <mergeCell ref="A53:C53"/>
    <mergeCell ref="A56:G56"/>
  </mergeCells>
  <printOptions/>
  <pageMargins left="0" right="0" top="0" bottom="0" header="0" footer="0"/>
  <pageSetup fitToHeight="99" fitToWidth="1" horizontalDpi="300" verticalDpi="3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3"/>
  <sheetViews>
    <sheetView showGridLines="0" workbookViewId="0" topLeftCell="A1">
      <selection activeCell="X22" sqref="X22"/>
    </sheetView>
  </sheetViews>
  <sheetFormatPr defaultColWidth="9.140625" defaultRowHeight="15"/>
  <cols>
    <col min="1" max="1" width="7.140625" style="141" customWidth="1"/>
    <col min="2" max="2" width="1.421875" style="141" customWidth="1"/>
    <col min="3" max="3" width="3.57421875" style="141" customWidth="1"/>
    <col min="4" max="4" width="3.7109375" style="141" customWidth="1"/>
    <col min="5" max="5" width="14.7109375" style="141" customWidth="1"/>
    <col min="6" max="6" width="43.57421875" style="141" customWidth="1"/>
    <col min="7" max="7" width="8.140625" style="141" customWidth="1"/>
    <col min="8" max="8" width="9.8515625" style="141" customWidth="1"/>
    <col min="9" max="9" width="17.28125" style="141" customWidth="1"/>
    <col min="10" max="10" width="15.421875" style="141" customWidth="1"/>
    <col min="11" max="11" width="17.28125" style="141" hidden="1" customWidth="1"/>
    <col min="12" max="12" width="8.00390625" style="141" customWidth="1"/>
    <col min="13" max="13" width="9.28125" style="141" hidden="1" customWidth="1"/>
    <col min="14" max="19" width="12.140625" style="141" hidden="1" customWidth="1"/>
    <col min="20" max="20" width="14.00390625" style="141" hidden="1" customWidth="1"/>
    <col min="21" max="21" width="10.57421875" style="141" customWidth="1"/>
    <col min="22" max="22" width="14.00390625" style="141" customWidth="1"/>
    <col min="23" max="23" width="10.57421875" style="141" customWidth="1"/>
    <col min="24" max="24" width="12.8515625" style="141" customWidth="1"/>
    <col min="25" max="25" width="9.421875" style="141" customWidth="1"/>
    <col min="26" max="26" width="12.8515625" style="141" customWidth="1"/>
    <col min="27" max="27" width="14.00390625" style="141" customWidth="1"/>
    <col min="28" max="28" width="9.421875" style="141" customWidth="1"/>
    <col min="29" max="29" width="12.8515625" style="141" customWidth="1"/>
    <col min="30" max="30" width="14.00390625" style="141" customWidth="1"/>
    <col min="31" max="1024" width="9.140625" style="141" customWidth="1"/>
  </cols>
  <sheetData>
    <row r="1" spans="1:8" s="83" customFormat="1" ht="20.25">
      <c r="A1" s="74" t="s">
        <v>1453</v>
      </c>
      <c r="B1" s="75"/>
      <c r="C1" s="75"/>
      <c r="D1" s="75"/>
      <c r="E1" s="75"/>
      <c r="F1" s="75"/>
      <c r="G1" s="85"/>
      <c r="H1" s="75"/>
    </row>
    <row r="2" spans="1:10" ht="12">
      <c r="A2" s="76" t="s">
        <v>28</v>
      </c>
      <c r="B2" s="76"/>
      <c r="C2" s="77"/>
      <c r="D2" s="77"/>
      <c r="E2" s="77"/>
      <c r="F2" s="77"/>
      <c r="G2" s="85"/>
      <c r="H2" s="75"/>
      <c r="I2" s="390"/>
      <c r="J2" s="390"/>
    </row>
    <row r="3" spans="1:10" ht="15">
      <c r="A3" s="76" t="s">
        <v>24</v>
      </c>
      <c r="B3" s="78"/>
      <c r="C3" s="79"/>
      <c r="D3" s="80"/>
      <c r="E3" s="80"/>
      <c r="F3" s="80"/>
      <c r="G3" s="81"/>
      <c r="H3" s="80"/>
      <c r="I3" s="390"/>
      <c r="J3" s="390"/>
    </row>
    <row r="4" spans="1:10" ht="15">
      <c r="A4" s="76" t="s">
        <v>861</v>
      </c>
      <c r="B4" s="78"/>
      <c r="C4" s="79"/>
      <c r="D4" s="80"/>
      <c r="E4" s="80"/>
      <c r="F4" s="80"/>
      <c r="G4" s="81"/>
      <c r="H4" s="80"/>
      <c r="I4" s="390"/>
      <c r="J4" s="390"/>
    </row>
    <row r="5" spans="1:10" ht="15">
      <c r="A5" s="390"/>
      <c r="B5" s="390"/>
      <c r="C5" s="390"/>
      <c r="D5" s="390"/>
      <c r="E5" s="390"/>
      <c r="F5" s="390"/>
      <c r="G5" s="390"/>
      <c r="H5" s="390"/>
      <c r="I5" s="390"/>
      <c r="J5" s="390"/>
    </row>
    <row r="6" spans="1:19" s="142" customFormat="1" ht="29.25" customHeight="1">
      <c r="A6" s="391"/>
      <c r="B6" s="392"/>
      <c r="C6" s="393" t="s">
        <v>862</v>
      </c>
      <c r="D6" s="394" t="s">
        <v>863</v>
      </c>
      <c r="E6" s="394" t="s">
        <v>864</v>
      </c>
      <c r="F6" s="394" t="s">
        <v>33</v>
      </c>
      <c r="G6" s="394" t="s">
        <v>34</v>
      </c>
      <c r="H6" s="394" t="s">
        <v>865</v>
      </c>
      <c r="I6" s="394" t="s">
        <v>866</v>
      </c>
      <c r="J6" s="395" t="s">
        <v>867</v>
      </c>
      <c r="K6" s="144" t="s">
        <v>868</v>
      </c>
      <c r="L6" s="143"/>
      <c r="M6" s="145"/>
      <c r="N6" s="146" t="s">
        <v>869</v>
      </c>
      <c r="O6" s="146" t="s">
        <v>870</v>
      </c>
      <c r="P6" s="146" t="s">
        <v>871</v>
      </c>
      <c r="Q6" s="146" t="s">
        <v>872</v>
      </c>
      <c r="R6" s="146" t="s">
        <v>873</v>
      </c>
      <c r="S6" s="147" t="s">
        <v>874</v>
      </c>
    </row>
    <row r="7" spans="1:62" s="148" customFormat="1" ht="22.95" customHeight="1">
      <c r="A7" s="396"/>
      <c r="B7" s="397"/>
      <c r="C7" s="398" t="s">
        <v>875</v>
      </c>
      <c r="D7" s="396"/>
      <c r="E7" s="396"/>
      <c r="F7" s="396"/>
      <c r="G7" s="396"/>
      <c r="H7" s="396"/>
      <c r="I7" s="396"/>
      <c r="J7" s="399">
        <f>BJ7</f>
        <v>0</v>
      </c>
      <c r="L7" s="149"/>
      <c r="M7" s="150"/>
      <c r="N7" s="151"/>
      <c r="O7" s="152">
        <f>O8</f>
        <v>50.946867000000005</v>
      </c>
      <c r="P7" s="151"/>
      <c r="Q7" s="152">
        <f>Q8</f>
        <v>0.09839</v>
      </c>
      <c r="R7" s="151"/>
      <c r="S7" s="153">
        <f>S8</f>
        <v>0.11304999999999998</v>
      </c>
      <c r="AS7" s="154" t="s">
        <v>876</v>
      </c>
      <c r="AT7" s="154" t="s">
        <v>877</v>
      </c>
      <c r="BJ7" s="155">
        <f>BJ8</f>
        <v>0</v>
      </c>
    </row>
    <row r="8" spans="1:62" s="156" customFormat="1" ht="25.95" customHeight="1">
      <c r="A8" s="400"/>
      <c r="B8" s="401"/>
      <c r="C8" s="400"/>
      <c r="D8" s="402" t="s">
        <v>876</v>
      </c>
      <c r="E8" s="403" t="s">
        <v>204</v>
      </c>
      <c r="F8" s="403" t="s">
        <v>205</v>
      </c>
      <c r="G8" s="400"/>
      <c r="H8" s="400"/>
      <c r="I8" s="400"/>
      <c r="J8" s="404">
        <f>BJ8</f>
        <v>0</v>
      </c>
      <c r="L8" s="157"/>
      <c r="M8" s="159"/>
      <c r="N8" s="160"/>
      <c r="O8" s="161">
        <f>O9+O26+O45+O49+O66</f>
        <v>50.946867000000005</v>
      </c>
      <c r="P8" s="160"/>
      <c r="Q8" s="161">
        <f>Q9+Q26+Q45+Q49+Q66</f>
        <v>0.09839</v>
      </c>
      <c r="R8" s="160"/>
      <c r="S8" s="162">
        <f>S9+S26+S45+S49+S66</f>
        <v>0.11304999999999998</v>
      </c>
      <c r="AQ8" s="158" t="s">
        <v>38</v>
      </c>
      <c r="AS8" s="163" t="s">
        <v>876</v>
      </c>
      <c r="AT8" s="163" t="s">
        <v>878</v>
      </c>
      <c r="AX8" s="158" t="s">
        <v>879</v>
      </c>
      <c r="BJ8" s="164">
        <f>BJ9+BJ26+BJ45+BJ49+BJ66</f>
        <v>0</v>
      </c>
    </row>
    <row r="9" spans="1:62" s="156" customFormat="1" ht="22.95" customHeight="1">
      <c r="A9" s="400"/>
      <c r="B9" s="401"/>
      <c r="C9" s="400"/>
      <c r="D9" s="402" t="s">
        <v>876</v>
      </c>
      <c r="E9" s="405" t="s">
        <v>880</v>
      </c>
      <c r="F9" s="405" t="s">
        <v>881</v>
      </c>
      <c r="G9" s="400"/>
      <c r="H9" s="400"/>
      <c r="I9" s="400"/>
      <c r="J9" s="406">
        <f>BJ9</f>
        <v>0</v>
      </c>
      <c r="L9" s="157"/>
      <c r="M9" s="159"/>
      <c r="N9" s="160"/>
      <c r="O9" s="161">
        <f>SUM(O10:O25)</f>
        <v>11.723717</v>
      </c>
      <c r="P9" s="160"/>
      <c r="Q9" s="161">
        <f>SUM(Q10:Q25)</f>
        <v>0.01849</v>
      </c>
      <c r="R9" s="160"/>
      <c r="S9" s="162">
        <f>SUM(S10:S25)</f>
        <v>0.022979999999999997</v>
      </c>
      <c r="AQ9" s="158" t="s">
        <v>38</v>
      </c>
      <c r="AS9" s="163" t="s">
        <v>876</v>
      </c>
      <c r="AT9" s="163" t="s">
        <v>37</v>
      </c>
      <c r="AX9" s="158" t="s">
        <v>879</v>
      </c>
      <c r="BJ9" s="164">
        <f>SUM(BJ10:BJ25)</f>
        <v>0</v>
      </c>
    </row>
    <row r="10" spans="1:64" s="148" customFormat="1" ht="16.5" customHeight="1">
      <c r="A10" s="396"/>
      <c r="B10" s="397"/>
      <c r="C10" s="407" t="s">
        <v>37</v>
      </c>
      <c r="D10" s="407" t="s">
        <v>882</v>
      </c>
      <c r="E10" s="408" t="s">
        <v>883</v>
      </c>
      <c r="F10" s="409" t="s">
        <v>884</v>
      </c>
      <c r="G10" s="410" t="s">
        <v>25</v>
      </c>
      <c r="H10" s="411">
        <v>2</v>
      </c>
      <c r="I10" s="675"/>
      <c r="J10" s="412">
        <f aca="true" t="shared" si="0" ref="J10:J25">ROUND(I10*H10,2)</f>
        <v>0</v>
      </c>
      <c r="K10" s="165" t="s">
        <v>885</v>
      </c>
      <c r="L10" s="149"/>
      <c r="M10" s="166"/>
      <c r="N10" s="167">
        <v>0.379</v>
      </c>
      <c r="O10" s="167">
        <f aca="true" t="shared" si="1" ref="O10:O25">N10*H10</f>
        <v>0.758</v>
      </c>
      <c r="P10" s="167">
        <v>0.00184</v>
      </c>
      <c r="Q10" s="167">
        <f aca="true" t="shared" si="2" ref="Q10:Q25">P10*H10</f>
        <v>0.00368</v>
      </c>
      <c r="R10" s="167">
        <v>0</v>
      </c>
      <c r="S10" s="168">
        <f aca="true" t="shared" si="3" ref="S10:S25">R10*H10</f>
        <v>0</v>
      </c>
      <c r="AQ10" s="169" t="s">
        <v>886</v>
      </c>
      <c r="AS10" s="169" t="s">
        <v>882</v>
      </c>
      <c r="AT10" s="169" t="s">
        <v>38</v>
      </c>
      <c r="AX10" s="154" t="s">
        <v>879</v>
      </c>
      <c r="BD10" s="170" t="e">
        <f>IF(#REF!="základní",J10,0)</f>
        <v>#REF!</v>
      </c>
      <c r="BE10" s="170" t="e">
        <f>IF(#REF!="snížená",J10,0)</f>
        <v>#REF!</v>
      </c>
      <c r="BF10" s="170" t="e">
        <f>IF(#REF!="zákl. přenesená",J10,0)</f>
        <v>#REF!</v>
      </c>
      <c r="BG10" s="170" t="e">
        <f>IF(#REF!="sníž. přenesená",J10,0)</f>
        <v>#REF!</v>
      </c>
      <c r="BH10" s="170" t="e">
        <f>IF(#REF!="nulová",J10,0)</f>
        <v>#REF!</v>
      </c>
      <c r="BI10" s="154" t="s">
        <v>37</v>
      </c>
      <c r="BJ10" s="170">
        <f aca="true" t="shared" si="4" ref="BJ10:BJ25">ROUND(I10*H10,2)</f>
        <v>0</v>
      </c>
      <c r="BK10" s="154" t="s">
        <v>886</v>
      </c>
      <c r="BL10" s="169" t="s">
        <v>887</v>
      </c>
    </row>
    <row r="11" spans="1:64" s="148" customFormat="1" ht="16.5" customHeight="1">
      <c r="A11" s="396"/>
      <c r="B11" s="397"/>
      <c r="C11" s="407" t="s">
        <v>38</v>
      </c>
      <c r="D11" s="407" t="s">
        <v>882</v>
      </c>
      <c r="E11" s="408" t="s">
        <v>888</v>
      </c>
      <c r="F11" s="409" t="s">
        <v>889</v>
      </c>
      <c r="G11" s="410" t="s">
        <v>139</v>
      </c>
      <c r="H11" s="411">
        <v>10</v>
      </c>
      <c r="I11" s="675"/>
      <c r="J11" s="412">
        <f t="shared" si="0"/>
        <v>0</v>
      </c>
      <c r="K11" s="165" t="s">
        <v>885</v>
      </c>
      <c r="L11" s="149"/>
      <c r="M11" s="166"/>
      <c r="N11" s="167">
        <v>0.031</v>
      </c>
      <c r="O11" s="167">
        <f t="shared" si="1"/>
        <v>0.31</v>
      </c>
      <c r="P11" s="167">
        <v>0</v>
      </c>
      <c r="Q11" s="167">
        <f t="shared" si="2"/>
        <v>0</v>
      </c>
      <c r="R11" s="167">
        <v>0.0021</v>
      </c>
      <c r="S11" s="168">
        <f t="shared" si="3"/>
        <v>0.020999999999999998</v>
      </c>
      <c r="AQ11" s="169" t="s">
        <v>886</v>
      </c>
      <c r="AS11" s="169" t="s">
        <v>882</v>
      </c>
      <c r="AT11" s="169" t="s">
        <v>38</v>
      </c>
      <c r="AX11" s="154" t="s">
        <v>879</v>
      </c>
      <c r="BD11" s="170" t="e">
        <f>IF(#REF!="základní",J11,0)</f>
        <v>#REF!</v>
      </c>
      <c r="BE11" s="170" t="e">
        <f>IF(#REF!="snížená",J11,0)</f>
        <v>#REF!</v>
      </c>
      <c r="BF11" s="170" t="e">
        <f>IF(#REF!="zákl. přenesená",J11,0)</f>
        <v>#REF!</v>
      </c>
      <c r="BG11" s="170" t="e">
        <f>IF(#REF!="sníž. přenesená",J11,0)</f>
        <v>#REF!</v>
      </c>
      <c r="BH11" s="170" t="e">
        <f>IF(#REF!="nulová",J11,0)</f>
        <v>#REF!</v>
      </c>
      <c r="BI11" s="154" t="s">
        <v>37</v>
      </c>
      <c r="BJ11" s="170">
        <f t="shared" si="4"/>
        <v>0</v>
      </c>
      <c r="BK11" s="154" t="s">
        <v>886</v>
      </c>
      <c r="BL11" s="169" t="s">
        <v>890</v>
      </c>
    </row>
    <row r="12" spans="1:64" s="148" customFormat="1" ht="16.5" customHeight="1">
      <c r="A12" s="396"/>
      <c r="B12" s="397"/>
      <c r="C12" s="407" t="s">
        <v>39</v>
      </c>
      <c r="D12" s="407" t="s">
        <v>882</v>
      </c>
      <c r="E12" s="408" t="s">
        <v>891</v>
      </c>
      <c r="F12" s="409" t="s">
        <v>892</v>
      </c>
      <c r="G12" s="410" t="s">
        <v>139</v>
      </c>
      <c r="H12" s="411">
        <v>1</v>
      </c>
      <c r="I12" s="675"/>
      <c r="J12" s="412">
        <f t="shared" si="0"/>
        <v>0</v>
      </c>
      <c r="K12" s="165" t="s">
        <v>885</v>
      </c>
      <c r="L12" s="149"/>
      <c r="M12" s="166"/>
      <c r="N12" s="167">
        <v>0.083</v>
      </c>
      <c r="O12" s="167">
        <f t="shared" si="1"/>
        <v>0.083</v>
      </c>
      <c r="P12" s="167">
        <v>0</v>
      </c>
      <c r="Q12" s="167">
        <f t="shared" si="2"/>
        <v>0</v>
      </c>
      <c r="R12" s="167">
        <v>0.00198</v>
      </c>
      <c r="S12" s="168">
        <f t="shared" si="3"/>
        <v>0.00198</v>
      </c>
      <c r="AQ12" s="169" t="s">
        <v>886</v>
      </c>
      <c r="AS12" s="169" t="s">
        <v>882</v>
      </c>
      <c r="AT12" s="169" t="s">
        <v>38</v>
      </c>
      <c r="AX12" s="154" t="s">
        <v>879</v>
      </c>
      <c r="BD12" s="170" t="e">
        <f>IF(#REF!="základní",J12,0)</f>
        <v>#REF!</v>
      </c>
      <c r="BE12" s="170" t="e">
        <f>IF(#REF!="snížená",J12,0)</f>
        <v>#REF!</v>
      </c>
      <c r="BF12" s="170" t="e">
        <f>IF(#REF!="zákl. přenesená",J12,0)</f>
        <v>#REF!</v>
      </c>
      <c r="BG12" s="170" t="e">
        <f>IF(#REF!="sníž. přenesená",J12,0)</f>
        <v>#REF!</v>
      </c>
      <c r="BH12" s="170" t="e">
        <f>IF(#REF!="nulová",J12,0)</f>
        <v>#REF!</v>
      </c>
      <c r="BI12" s="154" t="s">
        <v>37</v>
      </c>
      <c r="BJ12" s="170">
        <f t="shared" si="4"/>
        <v>0</v>
      </c>
      <c r="BK12" s="154" t="s">
        <v>886</v>
      </c>
      <c r="BL12" s="169" t="s">
        <v>893</v>
      </c>
    </row>
    <row r="13" spans="1:64" s="148" customFormat="1" ht="16.5" customHeight="1">
      <c r="A13" s="396"/>
      <c r="B13" s="397"/>
      <c r="C13" s="407" t="s">
        <v>40</v>
      </c>
      <c r="D13" s="407" t="s">
        <v>882</v>
      </c>
      <c r="E13" s="408" t="s">
        <v>894</v>
      </c>
      <c r="F13" s="409" t="s">
        <v>895</v>
      </c>
      <c r="G13" s="410" t="s">
        <v>139</v>
      </c>
      <c r="H13" s="411">
        <v>7</v>
      </c>
      <c r="I13" s="675"/>
      <c r="J13" s="412">
        <f t="shared" si="0"/>
        <v>0</v>
      </c>
      <c r="K13" s="165" t="s">
        <v>885</v>
      </c>
      <c r="L13" s="149"/>
      <c r="M13" s="166"/>
      <c r="N13" s="167">
        <v>0.363</v>
      </c>
      <c r="O13" s="167">
        <f t="shared" si="1"/>
        <v>2.541</v>
      </c>
      <c r="P13" s="167">
        <v>0.00126</v>
      </c>
      <c r="Q13" s="167">
        <f t="shared" si="2"/>
        <v>0.00882</v>
      </c>
      <c r="R13" s="167">
        <v>0</v>
      </c>
      <c r="S13" s="168">
        <f t="shared" si="3"/>
        <v>0</v>
      </c>
      <c r="AQ13" s="169" t="s">
        <v>886</v>
      </c>
      <c r="AS13" s="169" t="s">
        <v>882</v>
      </c>
      <c r="AT13" s="169" t="s">
        <v>38</v>
      </c>
      <c r="AX13" s="154" t="s">
        <v>879</v>
      </c>
      <c r="BD13" s="170" t="e">
        <f>IF(#REF!="základní",J13,0)</f>
        <v>#REF!</v>
      </c>
      <c r="BE13" s="170" t="e">
        <f>IF(#REF!="snížená",J13,0)</f>
        <v>#REF!</v>
      </c>
      <c r="BF13" s="170" t="e">
        <f>IF(#REF!="zákl. přenesená",J13,0)</f>
        <v>#REF!</v>
      </c>
      <c r="BG13" s="170" t="e">
        <f>IF(#REF!="sníž. přenesená",J13,0)</f>
        <v>#REF!</v>
      </c>
      <c r="BH13" s="170" t="e">
        <f>IF(#REF!="nulová",J13,0)</f>
        <v>#REF!</v>
      </c>
      <c r="BI13" s="154" t="s">
        <v>37</v>
      </c>
      <c r="BJ13" s="170">
        <f t="shared" si="4"/>
        <v>0</v>
      </c>
      <c r="BK13" s="154" t="s">
        <v>886</v>
      </c>
      <c r="BL13" s="169" t="s">
        <v>896</v>
      </c>
    </row>
    <row r="14" spans="1:64" s="148" customFormat="1" ht="16.5" customHeight="1">
      <c r="A14" s="396"/>
      <c r="B14" s="397"/>
      <c r="C14" s="407" t="s">
        <v>41</v>
      </c>
      <c r="D14" s="407" t="s">
        <v>882</v>
      </c>
      <c r="E14" s="408" t="s">
        <v>897</v>
      </c>
      <c r="F14" s="409" t="s">
        <v>898</v>
      </c>
      <c r="G14" s="410" t="s">
        <v>139</v>
      </c>
      <c r="H14" s="411">
        <v>2</v>
      </c>
      <c r="I14" s="675"/>
      <c r="J14" s="412">
        <f t="shared" si="0"/>
        <v>0</v>
      </c>
      <c r="K14" s="165" t="s">
        <v>885</v>
      </c>
      <c r="L14" s="149"/>
      <c r="M14" s="166"/>
      <c r="N14" s="167">
        <v>0.383</v>
      </c>
      <c r="O14" s="167">
        <f t="shared" si="1"/>
        <v>0.766</v>
      </c>
      <c r="P14" s="167">
        <v>0.00175</v>
      </c>
      <c r="Q14" s="167">
        <f t="shared" si="2"/>
        <v>0.0035</v>
      </c>
      <c r="R14" s="167">
        <v>0</v>
      </c>
      <c r="S14" s="168">
        <f t="shared" si="3"/>
        <v>0</v>
      </c>
      <c r="AQ14" s="169" t="s">
        <v>886</v>
      </c>
      <c r="AS14" s="169" t="s">
        <v>882</v>
      </c>
      <c r="AT14" s="169" t="s">
        <v>38</v>
      </c>
      <c r="AX14" s="154" t="s">
        <v>879</v>
      </c>
      <c r="BD14" s="170" t="e">
        <f>IF(#REF!="základní",J14,0)</f>
        <v>#REF!</v>
      </c>
      <c r="BE14" s="170" t="e">
        <f>IF(#REF!="snížená",J14,0)</f>
        <v>#REF!</v>
      </c>
      <c r="BF14" s="170" t="e">
        <f>IF(#REF!="zákl. přenesená",J14,0)</f>
        <v>#REF!</v>
      </c>
      <c r="BG14" s="170" t="e">
        <f>IF(#REF!="sníž. přenesená",J14,0)</f>
        <v>#REF!</v>
      </c>
      <c r="BH14" s="170" t="e">
        <f>IF(#REF!="nulová",J14,0)</f>
        <v>#REF!</v>
      </c>
      <c r="BI14" s="154" t="s">
        <v>37</v>
      </c>
      <c r="BJ14" s="170">
        <f t="shared" si="4"/>
        <v>0</v>
      </c>
      <c r="BK14" s="154" t="s">
        <v>886</v>
      </c>
      <c r="BL14" s="169" t="s">
        <v>899</v>
      </c>
    </row>
    <row r="15" spans="1:64" s="148" customFormat="1" ht="16.5" customHeight="1">
      <c r="A15" s="396"/>
      <c r="B15" s="397"/>
      <c r="C15" s="407" t="s">
        <v>42</v>
      </c>
      <c r="D15" s="407" t="s">
        <v>882</v>
      </c>
      <c r="E15" s="408" t="s">
        <v>900</v>
      </c>
      <c r="F15" s="409" t="s">
        <v>901</v>
      </c>
      <c r="G15" s="410" t="s">
        <v>139</v>
      </c>
      <c r="H15" s="411">
        <v>1</v>
      </c>
      <c r="I15" s="675"/>
      <c r="J15" s="412">
        <f t="shared" si="0"/>
        <v>0</v>
      </c>
      <c r="K15" s="165" t="s">
        <v>885</v>
      </c>
      <c r="L15" s="149"/>
      <c r="M15" s="166"/>
      <c r="N15" s="167">
        <v>0.827</v>
      </c>
      <c r="O15" s="167">
        <f t="shared" si="1"/>
        <v>0.827</v>
      </c>
      <c r="P15" s="167">
        <v>0.00121</v>
      </c>
      <c r="Q15" s="167">
        <f t="shared" si="2"/>
        <v>0.00121</v>
      </c>
      <c r="R15" s="167">
        <v>0</v>
      </c>
      <c r="S15" s="168">
        <f t="shared" si="3"/>
        <v>0</v>
      </c>
      <c r="AQ15" s="169" t="s">
        <v>886</v>
      </c>
      <c r="AS15" s="169" t="s">
        <v>882</v>
      </c>
      <c r="AT15" s="169" t="s">
        <v>38</v>
      </c>
      <c r="AX15" s="154" t="s">
        <v>879</v>
      </c>
      <c r="BD15" s="170" t="e">
        <f>IF(#REF!="základní",J15,0)</f>
        <v>#REF!</v>
      </c>
      <c r="BE15" s="170" t="e">
        <f>IF(#REF!="snížená",J15,0)</f>
        <v>#REF!</v>
      </c>
      <c r="BF15" s="170" t="e">
        <f>IF(#REF!="zákl. přenesená",J15,0)</f>
        <v>#REF!</v>
      </c>
      <c r="BG15" s="170" t="e">
        <f>IF(#REF!="sníž. přenesená",J15,0)</f>
        <v>#REF!</v>
      </c>
      <c r="BH15" s="170" t="e">
        <f>IF(#REF!="nulová",J15,0)</f>
        <v>#REF!</v>
      </c>
      <c r="BI15" s="154" t="s">
        <v>37</v>
      </c>
      <c r="BJ15" s="170">
        <f t="shared" si="4"/>
        <v>0</v>
      </c>
      <c r="BK15" s="154" t="s">
        <v>886</v>
      </c>
      <c r="BL15" s="169" t="s">
        <v>902</v>
      </c>
    </row>
    <row r="16" spans="1:64" s="148" customFormat="1" ht="16.5" customHeight="1">
      <c r="A16" s="396"/>
      <c r="B16" s="397"/>
      <c r="C16" s="407" t="s">
        <v>43</v>
      </c>
      <c r="D16" s="407" t="s">
        <v>882</v>
      </c>
      <c r="E16" s="408" t="s">
        <v>903</v>
      </c>
      <c r="F16" s="409" t="s">
        <v>904</v>
      </c>
      <c r="G16" s="410" t="s">
        <v>139</v>
      </c>
      <c r="H16" s="411">
        <v>2</v>
      </c>
      <c r="I16" s="675"/>
      <c r="J16" s="412">
        <f t="shared" si="0"/>
        <v>0</v>
      </c>
      <c r="K16" s="165" t="s">
        <v>885</v>
      </c>
      <c r="L16" s="149"/>
      <c r="M16" s="166"/>
      <c r="N16" s="167">
        <v>0.659</v>
      </c>
      <c r="O16" s="167">
        <f t="shared" si="1"/>
        <v>1.318</v>
      </c>
      <c r="P16" s="167">
        <v>0.00029</v>
      </c>
      <c r="Q16" s="167">
        <f t="shared" si="2"/>
        <v>0.00058</v>
      </c>
      <c r="R16" s="167">
        <v>0</v>
      </c>
      <c r="S16" s="168">
        <f t="shared" si="3"/>
        <v>0</v>
      </c>
      <c r="AQ16" s="169" t="s">
        <v>886</v>
      </c>
      <c r="AS16" s="169" t="s">
        <v>882</v>
      </c>
      <c r="AT16" s="169" t="s">
        <v>38</v>
      </c>
      <c r="AX16" s="154" t="s">
        <v>879</v>
      </c>
      <c r="BD16" s="170" t="e">
        <f>IF(#REF!="základní",J16,0)</f>
        <v>#REF!</v>
      </c>
      <c r="BE16" s="170" t="e">
        <f>IF(#REF!="snížená",J16,0)</f>
        <v>#REF!</v>
      </c>
      <c r="BF16" s="170" t="e">
        <f>IF(#REF!="zákl. přenesená",J16,0)</f>
        <v>#REF!</v>
      </c>
      <c r="BG16" s="170" t="e">
        <f>IF(#REF!="sníž. přenesená",J16,0)</f>
        <v>#REF!</v>
      </c>
      <c r="BH16" s="170" t="e">
        <f>IF(#REF!="nulová",J16,0)</f>
        <v>#REF!</v>
      </c>
      <c r="BI16" s="154" t="s">
        <v>37</v>
      </c>
      <c r="BJ16" s="170">
        <f t="shared" si="4"/>
        <v>0</v>
      </c>
      <c r="BK16" s="154" t="s">
        <v>886</v>
      </c>
      <c r="BL16" s="169" t="s">
        <v>905</v>
      </c>
    </row>
    <row r="17" spans="1:64" s="148" customFormat="1" ht="16.5" customHeight="1">
      <c r="A17" s="396"/>
      <c r="B17" s="397"/>
      <c r="C17" s="407" t="s">
        <v>906</v>
      </c>
      <c r="D17" s="407" t="s">
        <v>882</v>
      </c>
      <c r="E17" s="408" t="s">
        <v>907</v>
      </c>
      <c r="F17" s="409" t="s">
        <v>908</v>
      </c>
      <c r="G17" s="410" t="s">
        <v>139</v>
      </c>
      <c r="H17" s="411">
        <v>2</v>
      </c>
      <c r="I17" s="675"/>
      <c r="J17" s="412">
        <f t="shared" si="0"/>
        <v>0</v>
      </c>
      <c r="K17" s="165" t="s">
        <v>885</v>
      </c>
      <c r="L17" s="149"/>
      <c r="M17" s="166"/>
      <c r="N17" s="167">
        <v>0.728</v>
      </c>
      <c r="O17" s="167">
        <f t="shared" si="1"/>
        <v>1.456</v>
      </c>
      <c r="P17" s="167">
        <v>0.00035</v>
      </c>
      <c r="Q17" s="167">
        <f t="shared" si="2"/>
        <v>0.0007</v>
      </c>
      <c r="R17" s="167">
        <v>0</v>
      </c>
      <c r="S17" s="168">
        <f t="shared" si="3"/>
        <v>0</v>
      </c>
      <c r="AQ17" s="169" t="s">
        <v>886</v>
      </c>
      <c r="AS17" s="169" t="s">
        <v>882</v>
      </c>
      <c r="AT17" s="169" t="s">
        <v>38</v>
      </c>
      <c r="AX17" s="154" t="s">
        <v>879</v>
      </c>
      <c r="BD17" s="170" t="e">
        <f>IF(#REF!="základní",J17,0)</f>
        <v>#REF!</v>
      </c>
      <c r="BE17" s="170" t="e">
        <f>IF(#REF!="snížená",J17,0)</f>
        <v>#REF!</v>
      </c>
      <c r="BF17" s="170" t="e">
        <f>IF(#REF!="zákl. přenesená",J17,0)</f>
        <v>#REF!</v>
      </c>
      <c r="BG17" s="170" t="e">
        <f>IF(#REF!="sníž. přenesená",J17,0)</f>
        <v>#REF!</v>
      </c>
      <c r="BH17" s="170" t="e">
        <f>IF(#REF!="nulová",J17,0)</f>
        <v>#REF!</v>
      </c>
      <c r="BI17" s="154" t="s">
        <v>37</v>
      </c>
      <c r="BJ17" s="170">
        <f t="shared" si="4"/>
        <v>0</v>
      </c>
      <c r="BK17" s="154" t="s">
        <v>886</v>
      </c>
      <c r="BL17" s="169" t="s">
        <v>909</v>
      </c>
    </row>
    <row r="18" spans="1:64" s="148" customFormat="1" ht="16.5" customHeight="1">
      <c r="A18" s="396"/>
      <c r="B18" s="397"/>
      <c r="C18" s="407" t="s">
        <v>910</v>
      </c>
      <c r="D18" s="407" t="s">
        <v>882</v>
      </c>
      <c r="E18" s="408" t="s">
        <v>911</v>
      </c>
      <c r="F18" s="409" t="s">
        <v>912</v>
      </c>
      <c r="G18" s="410" t="s">
        <v>25</v>
      </c>
      <c r="H18" s="411">
        <v>1</v>
      </c>
      <c r="I18" s="675"/>
      <c r="J18" s="412">
        <f t="shared" si="0"/>
        <v>0</v>
      </c>
      <c r="K18" s="165" t="s">
        <v>885</v>
      </c>
      <c r="L18" s="149"/>
      <c r="M18" s="166"/>
      <c r="N18" s="167">
        <v>0.157</v>
      </c>
      <c r="O18" s="167">
        <f t="shared" si="1"/>
        <v>0.157</v>
      </c>
      <c r="P18" s="167">
        <v>0</v>
      </c>
      <c r="Q18" s="167">
        <f t="shared" si="2"/>
        <v>0</v>
      </c>
      <c r="R18" s="167">
        <v>0</v>
      </c>
      <c r="S18" s="168">
        <f t="shared" si="3"/>
        <v>0</v>
      </c>
      <c r="AQ18" s="169" t="s">
        <v>886</v>
      </c>
      <c r="AS18" s="169" t="s">
        <v>882</v>
      </c>
      <c r="AT18" s="169" t="s">
        <v>38</v>
      </c>
      <c r="AX18" s="154" t="s">
        <v>879</v>
      </c>
      <c r="BD18" s="170" t="e">
        <f>IF(#REF!="základní",J18,0)</f>
        <v>#REF!</v>
      </c>
      <c r="BE18" s="170" t="e">
        <f>IF(#REF!="snížená",J18,0)</f>
        <v>#REF!</v>
      </c>
      <c r="BF18" s="170" t="e">
        <f>IF(#REF!="zákl. přenesená",J18,0)</f>
        <v>#REF!</v>
      </c>
      <c r="BG18" s="170" t="e">
        <f>IF(#REF!="sníž. přenesená",J18,0)</f>
        <v>#REF!</v>
      </c>
      <c r="BH18" s="170" t="e">
        <f>IF(#REF!="nulová",J18,0)</f>
        <v>#REF!</v>
      </c>
      <c r="BI18" s="154" t="s">
        <v>37</v>
      </c>
      <c r="BJ18" s="170">
        <f t="shared" si="4"/>
        <v>0</v>
      </c>
      <c r="BK18" s="154" t="s">
        <v>886</v>
      </c>
      <c r="BL18" s="169" t="s">
        <v>913</v>
      </c>
    </row>
    <row r="19" spans="1:64" s="148" customFormat="1" ht="16.5" customHeight="1">
      <c r="A19" s="396"/>
      <c r="B19" s="397"/>
      <c r="C19" s="407" t="s">
        <v>914</v>
      </c>
      <c r="D19" s="407" t="s">
        <v>882</v>
      </c>
      <c r="E19" s="408" t="s">
        <v>915</v>
      </c>
      <c r="F19" s="409" t="s">
        <v>916</v>
      </c>
      <c r="G19" s="410" t="s">
        <v>25</v>
      </c>
      <c r="H19" s="411">
        <v>1</v>
      </c>
      <c r="I19" s="675"/>
      <c r="J19" s="412">
        <f t="shared" si="0"/>
        <v>0</v>
      </c>
      <c r="K19" s="165" t="s">
        <v>885</v>
      </c>
      <c r="L19" s="149"/>
      <c r="M19" s="166"/>
      <c r="N19" s="167">
        <v>0.174</v>
      </c>
      <c r="O19" s="167">
        <f t="shared" si="1"/>
        <v>0.174</v>
      </c>
      <c r="P19" s="167">
        <v>0</v>
      </c>
      <c r="Q19" s="167">
        <f t="shared" si="2"/>
        <v>0</v>
      </c>
      <c r="R19" s="167">
        <v>0</v>
      </c>
      <c r="S19" s="168">
        <f t="shared" si="3"/>
        <v>0</v>
      </c>
      <c r="AQ19" s="169" t="s">
        <v>886</v>
      </c>
      <c r="AS19" s="169" t="s">
        <v>882</v>
      </c>
      <c r="AT19" s="169" t="s">
        <v>38</v>
      </c>
      <c r="AX19" s="154" t="s">
        <v>879</v>
      </c>
      <c r="BD19" s="170" t="e">
        <f>IF(#REF!="základní",J19,0)</f>
        <v>#REF!</v>
      </c>
      <c r="BE19" s="170" t="e">
        <f>IF(#REF!="snížená",J19,0)</f>
        <v>#REF!</v>
      </c>
      <c r="BF19" s="170" t="e">
        <f>IF(#REF!="zákl. přenesená",J19,0)</f>
        <v>#REF!</v>
      </c>
      <c r="BG19" s="170" t="e">
        <f>IF(#REF!="sníž. přenesená",J19,0)</f>
        <v>#REF!</v>
      </c>
      <c r="BH19" s="170" t="e">
        <f>IF(#REF!="nulová",J19,0)</f>
        <v>#REF!</v>
      </c>
      <c r="BI19" s="154" t="s">
        <v>37</v>
      </c>
      <c r="BJ19" s="170">
        <f t="shared" si="4"/>
        <v>0</v>
      </c>
      <c r="BK19" s="154" t="s">
        <v>886</v>
      </c>
      <c r="BL19" s="169" t="s">
        <v>917</v>
      </c>
    </row>
    <row r="20" spans="1:64" s="148" customFormat="1" ht="16.5" customHeight="1">
      <c r="A20" s="396"/>
      <c r="B20" s="397"/>
      <c r="C20" s="407" t="s">
        <v>918</v>
      </c>
      <c r="D20" s="407" t="s">
        <v>882</v>
      </c>
      <c r="E20" s="408" t="s">
        <v>919</v>
      </c>
      <c r="F20" s="409" t="s">
        <v>920</v>
      </c>
      <c r="G20" s="410" t="s">
        <v>25</v>
      </c>
      <c r="H20" s="411">
        <v>1</v>
      </c>
      <c r="I20" s="675"/>
      <c r="J20" s="412">
        <f t="shared" si="0"/>
        <v>0</v>
      </c>
      <c r="K20" s="165" t="s">
        <v>885</v>
      </c>
      <c r="L20" s="149"/>
      <c r="M20" s="166"/>
      <c r="N20" s="167">
        <v>0.259</v>
      </c>
      <c r="O20" s="167">
        <f t="shared" si="1"/>
        <v>0.259</v>
      </c>
      <c r="P20" s="167">
        <v>0</v>
      </c>
      <c r="Q20" s="167">
        <f t="shared" si="2"/>
        <v>0</v>
      </c>
      <c r="R20" s="167">
        <v>0</v>
      </c>
      <c r="S20" s="168">
        <f t="shared" si="3"/>
        <v>0</v>
      </c>
      <c r="AQ20" s="169" t="s">
        <v>886</v>
      </c>
      <c r="AS20" s="169" t="s">
        <v>882</v>
      </c>
      <c r="AT20" s="169" t="s">
        <v>38</v>
      </c>
      <c r="AX20" s="154" t="s">
        <v>879</v>
      </c>
      <c r="BD20" s="170" t="e">
        <f>IF(#REF!="základní",J20,0)</f>
        <v>#REF!</v>
      </c>
      <c r="BE20" s="170" t="e">
        <f>IF(#REF!="snížená",J20,0)</f>
        <v>#REF!</v>
      </c>
      <c r="BF20" s="170" t="e">
        <f>IF(#REF!="zákl. přenesená",J20,0)</f>
        <v>#REF!</v>
      </c>
      <c r="BG20" s="170" t="e">
        <f>IF(#REF!="sníž. přenesená",J20,0)</f>
        <v>#REF!</v>
      </c>
      <c r="BH20" s="170" t="e">
        <f>IF(#REF!="nulová",J20,0)</f>
        <v>#REF!</v>
      </c>
      <c r="BI20" s="154" t="s">
        <v>37</v>
      </c>
      <c r="BJ20" s="170">
        <f t="shared" si="4"/>
        <v>0</v>
      </c>
      <c r="BK20" s="154" t="s">
        <v>886</v>
      </c>
      <c r="BL20" s="169" t="s">
        <v>921</v>
      </c>
    </row>
    <row r="21" spans="1:64" s="148" customFormat="1" ht="16.5" customHeight="1">
      <c r="A21" s="396"/>
      <c r="B21" s="397"/>
      <c r="C21" s="407" t="s">
        <v>922</v>
      </c>
      <c r="D21" s="407" t="s">
        <v>882</v>
      </c>
      <c r="E21" s="408" t="s">
        <v>923</v>
      </c>
      <c r="F21" s="409" t="s">
        <v>924</v>
      </c>
      <c r="G21" s="410" t="s">
        <v>139</v>
      </c>
      <c r="H21" s="411">
        <v>14</v>
      </c>
      <c r="I21" s="675"/>
      <c r="J21" s="412">
        <f t="shared" si="0"/>
        <v>0</v>
      </c>
      <c r="K21" s="165" t="s">
        <v>885</v>
      </c>
      <c r="L21" s="149"/>
      <c r="M21" s="166"/>
      <c r="N21" s="167">
        <v>0.048</v>
      </c>
      <c r="O21" s="167">
        <f t="shared" si="1"/>
        <v>0.672</v>
      </c>
      <c r="P21" s="167">
        <v>0</v>
      </c>
      <c r="Q21" s="167">
        <f t="shared" si="2"/>
        <v>0</v>
      </c>
      <c r="R21" s="167">
        <v>0</v>
      </c>
      <c r="S21" s="168">
        <f t="shared" si="3"/>
        <v>0</v>
      </c>
      <c r="AQ21" s="169" t="s">
        <v>886</v>
      </c>
      <c r="AS21" s="169" t="s">
        <v>882</v>
      </c>
      <c r="AT21" s="169" t="s">
        <v>38</v>
      </c>
      <c r="AX21" s="154" t="s">
        <v>879</v>
      </c>
      <c r="BD21" s="170" t="e">
        <f>IF(#REF!="základní",J21,0)</f>
        <v>#REF!</v>
      </c>
      <c r="BE21" s="170" t="e">
        <f>IF(#REF!="snížená",J21,0)</f>
        <v>#REF!</v>
      </c>
      <c r="BF21" s="170" t="e">
        <f>IF(#REF!="zákl. přenesená",J21,0)</f>
        <v>#REF!</v>
      </c>
      <c r="BG21" s="170" t="e">
        <f>IF(#REF!="sníž. přenesená",J21,0)</f>
        <v>#REF!</v>
      </c>
      <c r="BH21" s="170" t="e">
        <f>IF(#REF!="nulová",J21,0)</f>
        <v>#REF!</v>
      </c>
      <c r="BI21" s="154" t="s">
        <v>37</v>
      </c>
      <c r="BJ21" s="170">
        <f t="shared" si="4"/>
        <v>0</v>
      </c>
      <c r="BK21" s="154" t="s">
        <v>886</v>
      </c>
      <c r="BL21" s="169" t="s">
        <v>925</v>
      </c>
    </row>
    <row r="22" spans="1:64" s="148" customFormat="1" ht="24" customHeight="1">
      <c r="A22" s="396"/>
      <c r="B22" s="397"/>
      <c r="C22" s="407" t="s">
        <v>926</v>
      </c>
      <c r="D22" s="407" t="s">
        <v>882</v>
      </c>
      <c r="E22" s="408" t="s">
        <v>927</v>
      </c>
      <c r="F22" s="409" t="s">
        <v>928</v>
      </c>
      <c r="G22" s="410" t="s">
        <v>66</v>
      </c>
      <c r="H22" s="411">
        <v>0.023</v>
      </c>
      <c r="I22" s="675"/>
      <c r="J22" s="412">
        <f t="shared" si="0"/>
        <v>0</v>
      </c>
      <c r="K22" s="165" t="s">
        <v>885</v>
      </c>
      <c r="L22" s="149"/>
      <c r="M22" s="166"/>
      <c r="N22" s="167">
        <v>3.379</v>
      </c>
      <c r="O22" s="167">
        <f t="shared" si="1"/>
        <v>0.077717</v>
      </c>
      <c r="P22" s="167">
        <v>0</v>
      </c>
      <c r="Q22" s="167">
        <f t="shared" si="2"/>
        <v>0</v>
      </c>
      <c r="R22" s="167">
        <v>0</v>
      </c>
      <c r="S22" s="168">
        <f t="shared" si="3"/>
        <v>0</v>
      </c>
      <c r="AQ22" s="169" t="s">
        <v>886</v>
      </c>
      <c r="AS22" s="169" t="s">
        <v>882</v>
      </c>
      <c r="AT22" s="169" t="s">
        <v>38</v>
      </c>
      <c r="AX22" s="154" t="s">
        <v>879</v>
      </c>
      <c r="BD22" s="170" t="e">
        <f>IF(#REF!="základní",J22,0)</f>
        <v>#REF!</v>
      </c>
      <c r="BE22" s="170" t="e">
        <f>IF(#REF!="snížená",J22,0)</f>
        <v>#REF!</v>
      </c>
      <c r="BF22" s="170" t="e">
        <f>IF(#REF!="zákl. přenesená",J22,0)</f>
        <v>#REF!</v>
      </c>
      <c r="BG22" s="170" t="e">
        <f>IF(#REF!="sníž. přenesená",J22,0)</f>
        <v>#REF!</v>
      </c>
      <c r="BH22" s="170" t="e">
        <f>IF(#REF!="nulová",J22,0)</f>
        <v>#REF!</v>
      </c>
      <c r="BI22" s="154" t="s">
        <v>37</v>
      </c>
      <c r="BJ22" s="170">
        <f t="shared" si="4"/>
        <v>0</v>
      </c>
      <c r="BK22" s="154" t="s">
        <v>886</v>
      </c>
      <c r="BL22" s="169" t="s">
        <v>929</v>
      </c>
    </row>
    <row r="23" spans="1:64" s="148" customFormat="1" ht="16.5" customHeight="1">
      <c r="A23" s="396"/>
      <c r="B23" s="397"/>
      <c r="C23" s="407" t="s">
        <v>930</v>
      </c>
      <c r="D23" s="407" t="s">
        <v>882</v>
      </c>
      <c r="E23" s="408" t="s">
        <v>931</v>
      </c>
      <c r="F23" s="409" t="s">
        <v>932</v>
      </c>
      <c r="G23" s="410" t="s">
        <v>139</v>
      </c>
      <c r="H23" s="411">
        <v>5</v>
      </c>
      <c r="I23" s="675"/>
      <c r="J23" s="412">
        <f t="shared" si="0"/>
        <v>0</v>
      </c>
      <c r="K23" s="165" t="s">
        <v>885</v>
      </c>
      <c r="L23" s="149"/>
      <c r="M23" s="166"/>
      <c r="N23" s="167">
        <v>0.465</v>
      </c>
      <c r="O23" s="167">
        <f t="shared" si="1"/>
        <v>2.325</v>
      </c>
      <c r="P23" s="167">
        <v>0</v>
      </c>
      <c r="Q23" s="167">
        <f t="shared" si="2"/>
        <v>0</v>
      </c>
      <c r="R23" s="167">
        <v>0</v>
      </c>
      <c r="S23" s="168">
        <f t="shared" si="3"/>
        <v>0</v>
      </c>
      <c r="AQ23" s="169" t="s">
        <v>886</v>
      </c>
      <c r="AS23" s="169" t="s">
        <v>882</v>
      </c>
      <c r="AT23" s="169" t="s">
        <v>38</v>
      </c>
      <c r="AX23" s="154" t="s">
        <v>879</v>
      </c>
      <c r="BD23" s="170" t="e">
        <f>IF(#REF!="základní",J23,0)</f>
        <v>#REF!</v>
      </c>
      <c r="BE23" s="170" t="e">
        <f>IF(#REF!="snížená",J23,0)</f>
        <v>#REF!</v>
      </c>
      <c r="BF23" s="170" t="e">
        <f>IF(#REF!="zákl. přenesená",J23,0)</f>
        <v>#REF!</v>
      </c>
      <c r="BG23" s="170" t="e">
        <f>IF(#REF!="sníž. přenesená",J23,0)</f>
        <v>#REF!</v>
      </c>
      <c r="BH23" s="170" t="e">
        <f>IF(#REF!="nulová",J23,0)</f>
        <v>#REF!</v>
      </c>
      <c r="BI23" s="154" t="s">
        <v>37</v>
      </c>
      <c r="BJ23" s="170">
        <f t="shared" si="4"/>
        <v>0</v>
      </c>
      <c r="BK23" s="154" t="s">
        <v>886</v>
      </c>
      <c r="BL23" s="169" t="s">
        <v>933</v>
      </c>
    </row>
    <row r="24" spans="1:64" s="148" customFormat="1" ht="16.5" customHeight="1">
      <c r="A24" s="396"/>
      <c r="B24" s="397"/>
      <c r="C24" s="407" t="s">
        <v>886</v>
      </c>
      <c r="D24" s="407" t="s">
        <v>882</v>
      </c>
      <c r="E24" s="408" t="s">
        <v>935</v>
      </c>
      <c r="F24" s="409" t="s">
        <v>936</v>
      </c>
      <c r="G24" s="410" t="s">
        <v>25</v>
      </c>
      <c r="H24" s="411">
        <v>1</v>
      </c>
      <c r="I24" s="675"/>
      <c r="J24" s="412">
        <f t="shared" si="0"/>
        <v>0</v>
      </c>
      <c r="K24" s="165"/>
      <c r="L24" s="149"/>
      <c r="M24" s="166"/>
      <c r="N24" s="167">
        <v>0</v>
      </c>
      <c r="O24" s="167">
        <f t="shared" si="1"/>
        <v>0</v>
      </c>
      <c r="P24" s="167">
        <v>0</v>
      </c>
      <c r="Q24" s="167">
        <f t="shared" si="2"/>
        <v>0</v>
      </c>
      <c r="R24" s="167">
        <v>0</v>
      </c>
      <c r="S24" s="168">
        <f t="shared" si="3"/>
        <v>0</v>
      </c>
      <c r="AQ24" s="169" t="s">
        <v>886</v>
      </c>
      <c r="AS24" s="169" t="s">
        <v>882</v>
      </c>
      <c r="AT24" s="169" t="s">
        <v>38</v>
      </c>
      <c r="AX24" s="154" t="s">
        <v>879</v>
      </c>
      <c r="BD24" s="170" t="e">
        <f>IF(#REF!="základní",J24,0)</f>
        <v>#REF!</v>
      </c>
      <c r="BE24" s="170" t="e">
        <f>IF(#REF!="snížená",J24,0)</f>
        <v>#REF!</v>
      </c>
      <c r="BF24" s="170" t="e">
        <f>IF(#REF!="zákl. přenesená",J24,0)</f>
        <v>#REF!</v>
      </c>
      <c r="BG24" s="170" t="e">
        <f>IF(#REF!="sníž. přenesená",J24,0)</f>
        <v>#REF!</v>
      </c>
      <c r="BH24" s="170" t="e">
        <f>IF(#REF!="nulová",J24,0)</f>
        <v>#REF!</v>
      </c>
      <c r="BI24" s="154" t="s">
        <v>37</v>
      </c>
      <c r="BJ24" s="170">
        <f t="shared" si="4"/>
        <v>0</v>
      </c>
      <c r="BK24" s="154" t="s">
        <v>886</v>
      </c>
      <c r="BL24" s="169" t="s">
        <v>937</v>
      </c>
    </row>
    <row r="25" spans="1:64" s="148" customFormat="1" ht="24" customHeight="1">
      <c r="A25" s="396"/>
      <c r="B25" s="397"/>
      <c r="C25" s="407" t="s">
        <v>938</v>
      </c>
      <c r="D25" s="407" t="s">
        <v>882</v>
      </c>
      <c r="E25" s="408" t="s">
        <v>939</v>
      </c>
      <c r="F25" s="409" t="s">
        <v>940</v>
      </c>
      <c r="G25" s="410" t="s">
        <v>10</v>
      </c>
      <c r="H25" s="411">
        <v>150.064</v>
      </c>
      <c r="I25" s="675"/>
      <c r="J25" s="412">
        <f t="shared" si="0"/>
        <v>0</v>
      </c>
      <c r="K25" s="165" t="s">
        <v>885</v>
      </c>
      <c r="L25" s="149"/>
      <c r="M25" s="166"/>
      <c r="N25" s="167">
        <v>0</v>
      </c>
      <c r="O25" s="167">
        <f t="shared" si="1"/>
        <v>0</v>
      </c>
      <c r="P25" s="167">
        <v>0</v>
      </c>
      <c r="Q25" s="167">
        <f t="shared" si="2"/>
        <v>0</v>
      </c>
      <c r="R25" s="167">
        <v>0</v>
      </c>
      <c r="S25" s="168">
        <f t="shared" si="3"/>
        <v>0</v>
      </c>
      <c r="AQ25" s="169" t="s">
        <v>886</v>
      </c>
      <c r="AS25" s="169" t="s">
        <v>882</v>
      </c>
      <c r="AT25" s="169" t="s">
        <v>38</v>
      </c>
      <c r="AX25" s="154" t="s">
        <v>879</v>
      </c>
      <c r="BD25" s="170" t="e">
        <f>IF(#REF!="základní",J25,0)</f>
        <v>#REF!</v>
      </c>
      <c r="BE25" s="170" t="e">
        <f>IF(#REF!="snížená",J25,0)</f>
        <v>#REF!</v>
      </c>
      <c r="BF25" s="170" t="e">
        <f>IF(#REF!="zákl. přenesená",J25,0)</f>
        <v>#REF!</v>
      </c>
      <c r="BG25" s="170" t="e">
        <f>IF(#REF!="sníž. přenesená",J25,0)</f>
        <v>#REF!</v>
      </c>
      <c r="BH25" s="170" t="e">
        <f>IF(#REF!="nulová",J25,0)</f>
        <v>#REF!</v>
      </c>
      <c r="BI25" s="154" t="s">
        <v>37</v>
      </c>
      <c r="BJ25" s="170">
        <f t="shared" si="4"/>
        <v>0</v>
      </c>
      <c r="BK25" s="154" t="s">
        <v>886</v>
      </c>
      <c r="BL25" s="169" t="s">
        <v>941</v>
      </c>
    </row>
    <row r="26" spans="1:62" s="156" customFormat="1" ht="22.95" customHeight="1">
      <c r="A26" s="400"/>
      <c r="B26" s="401"/>
      <c r="C26" s="400"/>
      <c r="D26" s="402" t="s">
        <v>876</v>
      </c>
      <c r="E26" s="405" t="s">
        <v>942</v>
      </c>
      <c r="F26" s="405" t="s">
        <v>943</v>
      </c>
      <c r="G26" s="400"/>
      <c r="H26" s="400"/>
      <c r="I26" s="676"/>
      <c r="J26" s="406">
        <f>BJ26</f>
        <v>0</v>
      </c>
      <c r="L26" s="157"/>
      <c r="M26" s="159"/>
      <c r="N26" s="160"/>
      <c r="O26" s="161">
        <f>SUM(O27:O44)</f>
        <v>26.814790000000006</v>
      </c>
      <c r="P26" s="160"/>
      <c r="Q26" s="161">
        <f>SUM(Q27:Q44)</f>
        <v>0.03087</v>
      </c>
      <c r="R26" s="160"/>
      <c r="S26" s="162">
        <f>SUM(S27:S44)</f>
        <v>0.01022</v>
      </c>
      <c r="AQ26" s="158" t="s">
        <v>38</v>
      </c>
      <c r="AS26" s="163" t="s">
        <v>876</v>
      </c>
      <c r="AT26" s="163" t="s">
        <v>37</v>
      </c>
      <c r="AX26" s="158" t="s">
        <v>879</v>
      </c>
      <c r="BJ26" s="164">
        <f>SUM(BJ27:BJ44)</f>
        <v>0</v>
      </c>
    </row>
    <row r="27" spans="1:64" s="148" customFormat="1" ht="16.5" customHeight="1">
      <c r="A27" s="396"/>
      <c r="B27" s="397"/>
      <c r="C27" s="407" t="s">
        <v>944</v>
      </c>
      <c r="D27" s="407" t="s">
        <v>882</v>
      </c>
      <c r="E27" s="408" t="s">
        <v>945</v>
      </c>
      <c r="F27" s="409" t="s">
        <v>946</v>
      </c>
      <c r="G27" s="410" t="s">
        <v>139</v>
      </c>
      <c r="H27" s="411">
        <v>15</v>
      </c>
      <c r="I27" s="675"/>
      <c r="J27" s="412">
        <f aca="true" t="shared" si="5" ref="J27:J44">ROUND(I27*H27,2)</f>
        <v>0</v>
      </c>
      <c r="K27" s="165" t="s">
        <v>885</v>
      </c>
      <c r="L27" s="149"/>
      <c r="M27" s="166"/>
      <c r="N27" s="167">
        <v>0.052</v>
      </c>
      <c r="O27" s="167">
        <f aca="true" t="shared" si="6" ref="O27:O44">N27*H27</f>
        <v>0.7799999999999999</v>
      </c>
      <c r="P27" s="167">
        <v>0</v>
      </c>
      <c r="Q27" s="167">
        <f aca="true" t="shared" si="7" ref="Q27:Q44">P27*H27</f>
        <v>0</v>
      </c>
      <c r="R27" s="167">
        <v>0.00028</v>
      </c>
      <c r="S27" s="168">
        <f aca="true" t="shared" si="8" ref="S27:S44">R27*H27</f>
        <v>0.0042</v>
      </c>
      <c r="AQ27" s="169" t="s">
        <v>886</v>
      </c>
      <c r="AS27" s="169" t="s">
        <v>882</v>
      </c>
      <c r="AT27" s="169" t="s">
        <v>38</v>
      </c>
      <c r="AX27" s="154" t="s">
        <v>879</v>
      </c>
      <c r="BD27" s="170" t="e">
        <f>IF(#REF!="základní",J27,0)</f>
        <v>#REF!</v>
      </c>
      <c r="BE27" s="170" t="e">
        <f>IF(#REF!="snížená",J27,0)</f>
        <v>#REF!</v>
      </c>
      <c r="BF27" s="170" t="e">
        <f>IF(#REF!="zákl. přenesená",J27,0)</f>
        <v>#REF!</v>
      </c>
      <c r="BG27" s="170" t="e">
        <f>IF(#REF!="sníž. přenesená",J27,0)</f>
        <v>#REF!</v>
      </c>
      <c r="BH27" s="170" t="e">
        <f>IF(#REF!="nulová",J27,0)</f>
        <v>#REF!</v>
      </c>
      <c r="BI27" s="154" t="s">
        <v>37</v>
      </c>
      <c r="BJ27" s="170">
        <f aca="true" t="shared" si="9" ref="BJ27:BJ44">ROUND(I27*H27,2)</f>
        <v>0</v>
      </c>
      <c r="BK27" s="154" t="s">
        <v>886</v>
      </c>
      <c r="BL27" s="169" t="s">
        <v>947</v>
      </c>
    </row>
    <row r="28" spans="1:64" s="148" customFormat="1" ht="24" customHeight="1">
      <c r="A28" s="396"/>
      <c r="B28" s="397"/>
      <c r="C28" s="407" t="s">
        <v>948</v>
      </c>
      <c r="D28" s="407" t="s">
        <v>882</v>
      </c>
      <c r="E28" s="408" t="s">
        <v>949</v>
      </c>
      <c r="F28" s="409" t="s">
        <v>950</v>
      </c>
      <c r="G28" s="410" t="s">
        <v>139</v>
      </c>
      <c r="H28" s="411">
        <v>25</v>
      </c>
      <c r="I28" s="675"/>
      <c r="J28" s="412">
        <f t="shared" si="5"/>
        <v>0</v>
      </c>
      <c r="K28" s="165" t="s">
        <v>885</v>
      </c>
      <c r="L28" s="149"/>
      <c r="M28" s="166"/>
      <c r="N28" s="167">
        <v>0.529</v>
      </c>
      <c r="O28" s="167">
        <f t="shared" si="6"/>
        <v>13.225000000000001</v>
      </c>
      <c r="P28" s="167">
        <v>0.00066</v>
      </c>
      <c r="Q28" s="167">
        <f t="shared" si="7"/>
        <v>0.0165</v>
      </c>
      <c r="R28" s="167">
        <v>0</v>
      </c>
      <c r="S28" s="168">
        <f t="shared" si="8"/>
        <v>0</v>
      </c>
      <c r="AQ28" s="169" t="s">
        <v>886</v>
      </c>
      <c r="AS28" s="169" t="s">
        <v>882</v>
      </c>
      <c r="AT28" s="169" t="s">
        <v>38</v>
      </c>
      <c r="AX28" s="154" t="s">
        <v>879</v>
      </c>
      <c r="BD28" s="170" t="e">
        <f>IF(#REF!="základní",J28,0)</f>
        <v>#REF!</v>
      </c>
      <c r="BE28" s="170" t="e">
        <f>IF(#REF!="snížená",J28,0)</f>
        <v>#REF!</v>
      </c>
      <c r="BF28" s="170" t="e">
        <f>IF(#REF!="zákl. přenesená",J28,0)</f>
        <v>#REF!</v>
      </c>
      <c r="BG28" s="170" t="e">
        <f>IF(#REF!="sníž. přenesená",J28,0)</f>
        <v>#REF!</v>
      </c>
      <c r="BH28" s="170" t="e">
        <f>IF(#REF!="nulová",J28,0)</f>
        <v>#REF!</v>
      </c>
      <c r="BI28" s="154" t="s">
        <v>37</v>
      </c>
      <c r="BJ28" s="170">
        <f t="shared" si="9"/>
        <v>0</v>
      </c>
      <c r="BK28" s="154" t="s">
        <v>886</v>
      </c>
      <c r="BL28" s="169" t="s">
        <v>951</v>
      </c>
    </row>
    <row r="29" spans="1:64" s="148" customFormat="1" ht="24" customHeight="1">
      <c r="A29" s="396"/>
      <c r="B29" s="397"/>
      <c r="C29" s="407" t="s">
        <v>952</v>
      </c>
      <c r="D29" s="407" t="s">
        <v>882</v>
      </c>
      <c r="E29" s="408" t="s">
        <v>953</v>
      </c>
      <c r="F29" s="409" t="s">
        <v>954</v>
      </c>
      <c r="G29" s="410" t="s">
        <v>139</v>
      </c>
      <c r="H29" s="411">
        <v>5</v>
      </c>
      <c r="I29" s="675"/>
      <c r="J29" s="412">
        <f t="shared" si="5"/>
        <v>0</v>
      </c>
      <c r="K29" s="165" t="s">
        <v>885</v>
      </c>
      <c r="L29" s="149"/>
      <c r="M29" s="166"/>
      <c r="N29" s="167">
        <v>0.616</v>
      </c>
      <c r="O29" s="167">
        <f t="shared" si="6"/>
        <v>3.08</v>
      </c>
      <c r="P29" s="167">
        <v>0.00091</v>
      </c>
      <c r="Q29" s="167">
        <f t="shared" si="7"/>
        <v>0.00455</v>
      </c>
      <c r="R29" s="167">
        <v>0</v>
      </c>
      <c r="S29" s="168">
        <f t="shared" si="8"/>
        <v>0</v>
      </c>
      <c r="AQ29" s="169" t="s">
        <v>886</v>
      </c>
      <c r="AS29" s="169" t="s">
        <v>882</v>
      </c>
      <c r="AT29" s="169" t="s">
        <v>38</v>
      </c>
      <c r="AX29" s="154" t="s">
        <v>879</v>
      </c>
      <c r="BD29" s="170" t="e">
        <f>IF(#REF!="základní",J29,0)</f>
        <v>#REF!</v>
      </c>
      <c r="BE29" s="170" t="e">
        <f>IF(#REF!="snížená",J29,0)</f>
        <v>#REF!</v>
      </c>
      <c r="BF29" s="170" t="e">
        <f>IF(#REF!="zákl. přenesená",J29,0)</f>
        <v>#REF!</v>
      </c>
      <c r="BG29" s="170" t="e">
        <f>IF(#REF!="sníž. přenesená",J29,0)</f>
        <v>#REF!</v>
      </c>
      <c r="BH29" s="170" t="e">
        <f>IF(#REF!="nulová",J29,0)</f>
        <v>#REF!</v>
      </c>
      <c r="BI29" s="154" t="s">
        <v>37</v>
      </c>
      <c r="BJ29" s="170">
        <f t="shared" si="9"/>
        <v>0</v>
      </c>
      <c r="BK29" s="154" t="s">
        <v>886</v>
      </c>
      <c r="BL29" s="169" t="s">
        <v>955</v>
      </c>
    </row>
    <row r="30" spans="1:64" s="148" customFormat="1" ht="36" customHeight="1">
      <c r="A30" s="396"/>
      <c r="B30" s="397"/>
      <c r="C30" s="407" t="s">
        <v>956</v>
      </c>
      <c r="D30" s="407" t="s">
        <v>882</v>
      </c>
      <c r="E30" s="408" t="s">
        <v>957</v>
      </c>
      <c r="F30" s="409" t="s">
        <v>958</v>
      </c>
      <c r="G30" s="410" t="s">
        <v>139</v>
      </c>
      <c r="H30" s="411">
        <v>25</v>
      </c>
      <c r="I30" s="675"/>
      <c r="J30" s="412">
        <f t="shared" si="5"/>
        <v>0</v>
      </c>
      <c r="K30" s="165" t="s">
        <v>885</v>
      </c>
      <c r="L30" s="149"/>
      <c r="M30" s="166"/>
      <c r="N30" s="167">
        <v>0.106</v>
      </c>
      <c r="O30" s="167">
        <f t="shared" si="6"/>
        <v>2.65</v>
      </c>
      <c r="P30" s="167">
        <v>7E-05</v>
      </c>
      <c r="Q30" s="167">
        <f t="shared" si="7"/>
        <v>0.0017499999999999998</v>
      </c>
      <c r="R30" s="167">
        <v>0</v>
      </c>
      <c r="S30" s="168">
        <f t="shared" si="8"/>
        <v>0</v>
      </c>
      <c r="AQ30" s="169" t="s">
        <v>886</v>
      </c>
      <c r="AS30" s="169" t="s">
        <v>882</v>
      </c>
      <c r="AT30" s="169" t="s">
        <v>38</v>
      </c>
      <c r="AX30" s="154" t="s">
        <v>879</v>
      </c>
      <c r="BD30" s="170" t="e">
        <f>IF(#REF!="základní",J30,0)</f>
        <v>#REF!</v>
      </c>
      <c r="BE30" s="170" t="e">
        <f>IF(#REF!="snížená",J30,0)</f>
        <v>#REF!</v>
      </c>
      <c r="BF30" s="170" t="e">
        <f>IF(#REF!="zákl. přenesená",J30,0)</f>
        <v>#REF!</v>
      </c>
      <c r="BG30" s="170" t="e">
        <f>IF(#REF!="sníž. přenesená",J30,0)</f>
        <v>#REF!</v>
      </c>
      <c r="BH30" s="170" t="e">
        <f>IF(#REF!="nulová",J30,0)</f>
        <v>#REF!</v>
      </c>
      <c r="BI30" s="154" t="s">
        <v>37</v>
      </c>
      <c r="BJ30" s="170">
        <f t="shared" si="9"/>
        <v>0</v>
      </c>
      <c r="BK30" s="154" t="s">
        <v>886</v>
      </c>
      <c r="BL30" s="169" t="s">
        <v>959</v>
      </c>
    </row>
    <row r="31" spans="1:64" s="148" customFormat="1" ht="36" customHeight="1">
      <c r="A31" s="396"/>
      <c r="B31" s="397"/>
      <c r="C31" s="407" t="s">
        <v>960</v>
      </c>
      <c r="D31" s="407" t="s">
        <v>882</v>
      </c>
      <c r="E31" s="408" t="s">
        <v>961</v>
      </c>
      <c r="F31" s="409" t="s">
        <v>962</v>
      </c>
      <c r="G31" s="410" t="s">
        <v>139</v>
      </c>
      <c r="H31" s="411">
        <v>5</v>
      </c>
      <c r="I31" s="675"/>
      <c r="J31" s="412">
        <f t="shared" si="5"/>
        <v>0</v>
      </c>
      <c r="K31" s="165" t="s">
        <v>885</v>
      </c>
      <c r="L31" s="149"/>
      <c r="M31" s="166"/>
      <c r="N31" s="167">
        <v>0.106</v>
      </c>
      <c r="O31" s="167">
        <f t="shared" si="6"/>
        <v>0.53</v>
      </c>
      <c r="P31" s="167">
        <v>9E-05</v>
      </c>
      <c r="Q31" s="167">
        <f t="shared" si="7"/>
        <v>0.00045000000000000004</v>
      </c>
      <c r="R31" s="167">
        <v>0</v>
      </c>
      <c r="S31" s="168">
        <f t="shared" si="8"/>
        <v>0</v>
      </c>
      <c r="AQ31" s="169" t="s">
        <v>886</v>
      </c>
      <c r="AS31" s="169" t="s">
        <v>882</v>
      </c>
      <c r="AT31" s="169" t="s">
        <v>38</v>
      </c>
      <c r="AX31" s="154" t="s">
        <v>879</v>
      </c>
      <c r="BD31" s="170" t="e">
        <f>IF(#REF!="základní",J31,0)</f>
        <v>#REF!</v>
      </c>
      <c r="BE31" s="170" t="e">
        <f>IF(#REF!="snížená",J31,0)</f>
        <v>#REF!</v>
      </c>
      <c r="BF31" s="170" t="e">
        <f>IF(#REF!="zákl. přenesená",J31,0)</f>
        <v>#REF!</v>
      </c>
      <c r="BG31" s="170" t="e">
        <f>IF(#REF!="sníž. přenesená",J31,0)</f>
        <v>#REF!</v>
      </c>
      <c r="BH31" s="170" t="e">
        <f>IF(#REF!="nulová",J31,0)</f>
        <v>#REF!</v>
      </c>
      <c r="BI31" s="154" t="s">
        <v>37</v>
      </c>
      <c r="BJ31" s="170">
        <f t="shared" si="9"/>
        <v>0</v>
      </c>
      <c r="BK31" s="154" t="s">
        <v>886</v>
      </c>
      <c r="BL31" s="169" t="s">
        <v>963</v>
      </c>
    </row>
    <row r="32" spans="1:64" s="148" customFormat="1" ht="24" customHeight="1">
      <c r="A32" s="396"/>
      <c r="B32" s="397"/>
      <c r="C32" s="407" t="s">
        <v>964</v>
      </c>
      <c r="D32" s="407" t="s">
        <v>882</v>
      </c>
      <c r="E32" s="408" t="s">
        <v>965</v>
      </c>
      <c r="F32" s="409" t="s">
        <v>966</v>
      </c>
      <c r="G32" s="410" t="s">
        <v>25</v>
      </c>
      <c r="H32" s="411">
        <v>4</v>
      </c>
      <c r="I32" s="675"/>
      <c r="J32" s="412">
        <f t="shared" si="5"/>
        <v>0</v>
      </c>
      <c r="K32" s="165" t="s">
        <v>885</v>
      </c>
      <c r="L32" s="149"/>
      <c r="M32" s="166"/>
      <c r="N32" s="167">
        <v>0.165</v>
      </c>
      <c r="O32" s="167">
        <f t="shared" si="6"/>
        <v>0.66</v>
      </c>
      <c r="P32" s="167">
        <v>0</v>
      </c>
      <c r="Q32" s="167">
        <f t="shared" si="7"/>
        <v>0</v>
      </c>
      <c r="R32" s="167">
        <v>0</v>
      </c>
      <c r="S32" s="168">
        <f t="shared" si="8"/>
        <v>0</v>
      </c>
      <c r="AQ32" s="169" t="s">
        <v>886</v>
      </c>
      <c r="AS32" s="169" t="s">
        <v>882</v>
      </c>
      <c r="AT32" s="169" t="s">
        <v>38</v>
      </c>
      <c r="AX32" s="154" t="s">
        <v>879</v>
      </c>
      <c r="BD32" s="170" t="e">
        <f>IF(#REF!="základní",J32,0)</f>
        <v>#REF!</v>
      </c>
      <c r="BE32" s="170" t="e">
        <f>IF(#REF!="snížená",J32,0)</f>
        <v>#REF!</v>
      </c>
      <c r="BF32" s="170" t="e">
        <f>IF(#REF!="zákl. přenesená",J32,0)</f>
        <v>#REF!</v>
      </c>
      <c r="BG32" s="170" t="e">
        <f>IF(#REF!="sníž. přenesená",J32,0)</f>
        <v>#REF!</v>
      </c>
      <c r="BH32" s="170" t="e">
        <f>IF(#REF!="nulová",J32,0)</f>
        <v>#REF!</v>
      </c>
      <c r="BI32" s="154" t="s">
        <v>37</v>
      </c>
      <c r="BJ32" s="170">
        <f t="shared" si="9"/>
        <v>0</v>
      </c>
      <c r="BK32" s="154" t="s">
        <v>886</v>
      </c>
      <c r="BL32" s="169" t="s">
        <v>967</v>
      </c>
    </row>
    <row r="33" spans="1:64" s="148" customFormat="1" ht="16.5" customHeight="1">
      <c r="A33" s="396"/>
      <c r="B33" s="397"/>
      <c r="C33" s="407" t="s">
        <v>968</v>
      </c>
      <c r="D33" s="407" t="s">
        <v>882</v>
      </c>
      <c r="E33" s="408" t="s">
        <v>969</v>
      </c>
      <c r="F33" s="409" t="s">
        <v>970</v>
      </c>
      <c r="G33" s="410" t="s">
        <v>25</v>
      </c>
      <c r="H33" s="411">
        <v>5</v>
      </c>
      <c r="I33" s="675"/>
      <c r="J33" s="412">
        <f t="shared" si="5"/>
        <v>0</v>
      </c>
      <c r="K33" s="165" t="s">
        <v>885</v>
      </c>
      <c r="L33" s="149"/>
      <c r="M33" s="166"/>
      <c r="N33" s="167">
        <v>0.181</v>
      </c>
      <c r="O33" s="167">
        <f t="shared" si="6"/>
        <v>0.905</v>
      </c>
      <c r="P33" s="167">
        <v>0.00017</v>
      </c>
      <c r="Q33" s="167">
        <f t="shared" si="7"/>
        <v>0.0008500000000000001</v>
      </c>
      <c r="R33" s="167">
        <v>0</v>
      </c>
      <c r="S33" s="168">
        <f t="shared" si="8"/>
        <v>0</v>
      </c>
      <c r="AQ33" s="169" t="s">
        <v>886</v>
      </c>
      <c r="AS33" s="169" t="s">
        <v>882</v>
      </c>
      <c r="AT33" s="169" t="s">
        <v>38</v>
      </c>
      <c r="AX33" s="154" t="s">
        <v>879</v>
      </c>
      <c r="BD33" s="170" t="e">
        <f>IF(#REF!="základní",J33,0)</f>
        <v>#REF!</v>
      </c>
      <c r="BE33" s="170" t="e">
        <f>IF(#REF!="snížená",J33,0)</f>
        <v>#REF!</v>
      </c>
      <c r="BF33" s="170" t="e">
        <f>IF(#REF!="zákl. přenesená",J33,0)</f>
        <v>#REF!</v>
      </c>
      <c r="BG33" s="170" t="e">
        <f>IF(#REF!="sníž. přenesená",J33,0)</f>
        <v>#REF!</v>
      </c>
      <c r="BH33" s="170" t="e">
        <f>IF(#REF!="nulová",J33,0)</f>
        <v>#REF!</v>
      </c>
      <c r="BI33" s="154" t="s">
        <v>37</v>
      </c>
      <c r="BJ33" s="170">
        <f t="shared" si="9"/>
        <v>0</v>
      </c>
      <c r="BK33" s="154" t="s">
        <v>886</v>
      </c>
      <c r="BL33" s="169" t="s">
        <v>971</v>
      </c>
    </row>
    <row r="34" spans="1:64" s="148" customFormat="1" ht="16.5" customHeight="1">
      <c r="A34" s="396"/>
      <c r="B34" s="397"/>
      <c r="C34" s="407" t="s">
        <v>972</v>
      </c>
      <c r="D34" s="407" t="s">
        <v>882</v>
      </c>
      <c r="E34" s="408" t="s">
        <v>973</v>
      </c>
      <c r="F34" s="409" t="s">
        <v>974</v>
      </c>
      <c r="G34" s="410" t="s">
        <v>25</v>
      </c>
      <c r="H34" s="411">
        <v>1</v>
      </c>
      <c r="I34" s="675"/>
      <c r="J34" s="412">
        <f t="shared" si="5"/>
        <v>0</v>
      </c>
      <c r="K34" s="165" t="s">
        <v>885</v>
      </c>
      <c r="L34" s="149"/>
      <c r="M34" s="166"/>
      <c r="N34" s="167">
        <v>0.062</v>
      </c>
      <c r="O34" s="167">
        <f t="shared" si="6"/>
        <v>0.062</v>
      </c>
      <c r="P34" s="167">
        <v>0</v>
      </c>
      <c r="Q34" s="167">
        <f t="shared" si="7"/>
        <v>0</v>
      </c>
      <c r="R34" s="167">
        <v>0.00053</v>
      </c>
      <c r="S34" s="168">
        <f t="shared" si="8"/>
        <v>0.00053</v>
      </c>
      <c r="AQ34" s="169" t="s">
        <v>886</v>
      </c>
      <c r="AS34" s="169" t="s">
        <v>882</v>
      </c>
      <c r="AT34" s="169" t="s">
        <v>38</v>
      </c>
      <c r="AX34" s="154" t="s">
        <v>879</v>
      </c>
      <c r="BD34" s="170" t="e">
        <f>IF(#REF!="základní",J34,0)</f>
        <v>#REF!</v>
      </c>
      <c r="BE34" s="170" t="e">
        <f>IF(#REF!="snížená",J34,0)</f>
        <v>#REF!</v>
      </c>
      <c r="BF34" s="170" t="e">
        <f>IF(#REF!="zákl. přenesená",J34,0)</f>
        <v>#REF!</v>
      </c>
      <c r="BG34" s="170" t="e">
        <f>IF(#REF!="sníž. přenesená",J34,0)</f>
        <v>#REF!</v>
      </c>
      <c r="BH34" s="170" t="e">
        <f>IF(#REF!="nulová",J34,0)</f>
        <v>#REF!</v>
      </c>
      <c r="BI34" s="154" t="s">
        <v>37</v>
      </c>
      <c r="BJ34" s="170">
        <f t="shared" si="9"/>
        <v>0</v>
      </c>
      <c r="BK34" s="154" t="s">
        <v>886</v>
      </c>
      <c r="BL34" s="169" t="s">
        <v>975</v>
      </c>
    </row>
    <row r="35" spans="1:64" s="148" customFormat="1" ht="16.5" customHeight="1">
      <c r="A35" s="396"/>
      <c r="B35" s="397"/>
      <c r="C35" s="407" t="s">
        <v>976</v>
      </c>
      <c r="D35" s="407" t="s">
        <v>882</v>
      </c>
      <c r="E35" s="408" t="s">
        <v>977</v>
      </c>
      <c r="F35" s="409" t="s">
        <v>978</v>
      </c>
      <c r="G35" s="410" t="s">
        <v>25</v>
      </c>
      <c r="H35" s="411">
        <v>1</v>
      </c>
      <c r="I35" s="675"/>
      <c r="J35" s="412">
        <f t="shared" si="5"/>
        <v>0</v>
      </c>
      <c r="K35" s="165" t="s">
        <v>885</v>
      </c>
      <c r="L35" s="149"/>
      <c r="M35" s="166"/>
      <c r="N35" s="167">
        <v>0.204</v>
      </c>
      <c r="O35" s="167">
        <f t="shared" si="6"/>
        <v>0.204</v>
      </c>
      <c r="P35" s="167">
        <v>0.00075</v>
      </c>
      <c r="Q35" s="167">
        <f t="shared" si="7"/>
        <v>0.00075</v>
      </c>
      <c r="R35" s="167">
        <v>0</v>
      </c>
      <c r="S35" s="168">
        <f t="shared" si="8"/>
        <v>0</v>
      </c>
      <c r="AQ35" s="169" t="s">
        <v>886</v>
      </c>
      <c r="AS35" s="169" t="s">
        <v>882</v>
      </c>
      <c r="AT35" s="169" t="s">
        <v>38</v>
      </c>
      <c r="AX35" s="154" t="s">
        <v>879</v>
      </c>
      <c r="BD35" s="170" t="e">
        <f>IF(#REF!="základní",J35,0)</f>
        <v>#REF!</v>
      </c>
      <c r="BE35" s="170" t="e">
        <f>IF(#REF!="snížená",J35,0)</f>
        <v>#REF!</v>
      </c>
      <c r="BF35" s="170" t="e">
        <f>IF(#REF!="zákl. přenesená",J35,0)</f>
        <v>#REF!</v>
      </c>
      <c r="BG35" s="170" t="e">
        <f>IF(#REF!="sníž. přenesená",J35,0)</f>
        <v>#REF!</v>
      </c>
      <c r="BH35" s="170" t="e">
        <f>IF(#REF!="nulová",J35,0)</f>
        <v>#REF!</v>
      </c>
      <c r="BI35" s="154" t="s">
        <v>37</v>
      </c>
      <c r="BJ35" s="170">
        <f t="shared" si="9"/>
        <v>0</v>
      </c>
      <c r="BK35" s="154" t="s">
        <v>886</v>
      </c>
      <c r="BL35" s="169" t="s">
        <v>979</v>
      </c>
    </row>
    <row r="36" spans="1:64" s="148" customFormat="1" ht="16.5" customHeight="1">
      <c r="A36" s="396"/>
      <c r="B36" s="397"/>
      <c r="C36" s="407" t="s">
        <v>980</v>
      </c>
      <c r="D36" s="407" t="s">
        <v>882</v>
      </c>
      <c r="E36" s="408" t="s">
        <v>981</v>
      </c>
      <c r="F36" s="409" t="s">
        <v>982</v>
      </c>
      <c r="G36" s="410" t="s">
        <v>25</v>
      </c>
      <c r="H36" s="411">
        <v>1</v>
      </c>
      <c r="I36" s="675"/>
      <c r="J36" s="412">
        <f t="shared" si="5"/>
        <v>0</v>
      </c>
      <c r="K36" s="165" t="s">
        <v>885</v>
      </c>
      <c r="L36" s="149"/>
      <c r="M36" s="166"/>
      <c r="N36" s="167">
        <v>0.062</v>
      </c>
      <c r="O36" s="167">
        <f t="shared" si="6"/>
        <v>0.062</v>
      </c>
      <c r="P36" s="167">
        <v>0</v>
      </c>
      <c r="Q36" s="167">
        <f t="shared" si="7"/>
        <v>0</v>
      </c>
      <c r="R36" s="167">
        <v>0.00549</v>
      </c>
      <c r="S36" s="168">
        <f t="shared" si="8"/>
        <v>0.00549</v>
      </c>
      <c r="AQ36" s="169" t="s">
        <v>886</v>
      </c>
      <c r="AS36" s="169" t="s">
        <v>882</v>
      </c>
      <c r="AT36" s="169" t="s">
        <v>38</v>
      </c>
      <c r="AX36" s="154" t="s">
        <v>879</v>
      </c>
      <c r="BD36" s="170" t="e">
        <f>IF(#REF!="základní",J36,0)</f>
        <v>#REF!</v>
      </c>
      <c r="BE36" s="170" t="e">
        <f>IF(#REF!="snížená",J36,0)</f>
        <v>#REF!</v>
      </c>
      <c r="BF36" s="170" t="e">
        <f>IF(#REF!="zákl. přenesená",J36,0)</f>
        <v>#REF!</v>
      </c>
      <c r="BG36" s="170" t="e">
        <f>IF(#REF!="sníž. přenesená",J36,0)</f>
        <v>#REF!</v>
      </c>
      <c r="BH36" s="170" t="e">
        <f>IF(#REF!="nulová",J36,0)</f>
        <v>#REF!</v>
      </c>
      <c r="BI36" s="154" t="s">
        <v>37</v>
      </c>
      <c r="BJ36" s="170">
        <f t="shared" si="9"/>
        <v>0</v>
      </c>
      <c r="BK36" s="154" t="s">
        <v>886</v>
      </c>
      <c r="BL36" s="169" t="s">
        <v>983</v>
      </c>
    </row>
    <row r="37" spans="1:64" s="148" customFormat="1" ht="16.5" customHeight="1">
      <c r="A37" s="396"/>
      <c r="B37" s="397"/>
      <c r="C37" s="407" t="s">
        <v>984</v>
      </c>
      <c r="D37" s="407" t="s">
        <v>882</v>
      </c>
      <c r="E37" s="408" t="s">
        <v>985</v>
      </c>
      <c r="F37" s="409" t="s">
        <v>986</v>
      </c>
      <c r="G37" s="410" t="s">
        <v>25</v>
      </c>
      <c r="H37" s="411">
        <v>1</v>
      </c>
      <c r="I37" s="675"/>
      <c r="J37" s="412">
        <f t="shared" si="5"/>
        <v>0</v>
      </c>
      <c r="K37" s="165" t="s">
        <v>885</v>
      </c>
      <c r="L37" s="149"/>
      <c r="M37" s="166"/>
      <c r="N37" s="167">
        <v>0.153</v>
      </c>
      <c r="O37" s="167">
        <f t="shared" si="6"/>
        <v>0.153</v>
      </c>
      <c r="P37" s="167">
        <v>2E-05</v>
      </c>
      <c r="Q37" s="167">
        <f t="shared" si="7"/>
        <v>2E-05</v>
      </c>
      <c r="R37" s="167">
        <v>0</v>
      </c>
      <c r="S37" s="168">
        <f t="shared" si="8"/>
        <v>0</v>
      </c>
      <c r="AQ37" s="169" t="s">
        <v>886</v>
      </c>
      <c r="AS37" s="169" t="s">
        <v>882</v>
      </c>
      <c r="AT37" s="169" t="s">
        <v>38</v>
      </c>
      <c r="AX37" s="154" t="s">
        <v>879</v>
      </c>
      <c r="BD37" s="170" t="e">
        <f>IF(#REF!="základní",J37,0)</f>
        <v>#REF!</v>
      </c>
      <c r="BE37" s="170" t="e">
        <f>IF(#REF!="snížená",J37,0)</f>
        <v>#REF!</v>
      </c>
      <c r="BF37" s="170" t="e">
        <f>IF(#REF!="zákl. přenesená",J37,0)</f>
        <v>#REF!</v>
      </c>
      <c r="BG37" s="170" t="e">
        <f>IF(#REF!="sníž. přenesená",J37,0)</f>
        <v>#REF!</v>
      </c>
      <c r="BH37" s="170" t="e">
        <f>IF(#REF!="nulová",J37,0)</f>
        <v>#REF!</v>
      </c>
      <c r="BI37" s="154" t="s">
        <v>37</v>
      </c>
      <c r="BJ37" s="170">
        <f t="shared" si="9"/>
        <v>0</v>
      </c>
      <c r="BK37" s="154" t="s">
        <v>886</v>
      </c>
      <c r="BL37" s="169" t="s">
        <v>987</v>
      </c>
    </row>
    <row r="38" spans="1:64" s="148" customFormat="1" ht="24" customHeight="1">
      <c r="A38" s="396"/>
      <c r="B38" s="397"/>
      <c r="C38" s="407" t="s">
        <v>988</v>
      </c>
      <c r="D38" s="407" t="s">
        <v>882</v>
      </c>
      <c r="E38" s="408" t="s">
        <v>989</v>
      </c>
      <c r="F38" s="409" t="s">
        <v>990</v>
      </c>
      <c r="G38" s="410" t="s">
        <v>139</v>
      </c>
      <c r="H38" s="411">
        <v>30</v>
      </c>
      <c r="I38" s="675"/>
      <c r="J38" s="412">
        <f t="shared" si="5"/>
        <v>0</v>
      </c>
      <c r="K38" s="165" t="s">
        <v>885</v>
      </c>
      <c r="L38" s="149"/>
      <c r="M38" s="166"/>
      <c r="N38" s="167">
        <v>0.067</v>
      </c>
      <c r="O38" s="167">
        <f t="shared" si="6"/>
        <v>2.0100000000000002</v>
      </c>
      <c r="P38" s="167">
        <v>0.00019</v>
      </c>
      <c r="Q38" s="167">
        <f t="shared" si="7"/>
        <v>0.0057</v>
      </c>
      <c r="R38" s="167">
        <v>0</v>
      </c>
      <c r="S38" s="168">
        <f t="shared" si="8"/>
        <v>0</v>
      </c>
      <c r="AQ38" s="169" t="s">
        <v>886</v>
      </c>
      <c r="AS38" s="169" t="s">
        <v>882</v>
      </c>
      <c r="AT38" s="169" t="s">
        <v>38</v>
      </c>
      <c r="AX38" s="154" t="s">
        <v>879</v>
      </c>
      <c r="BD38" s="170" t="e">
        <f>IF(#REF!="základní",J38,0)</f>
        <v>#REF!</v>
      </c>
      <c r="BE38" s="170" t="e">
        <f>IF(#REF!="snížená",J38,0)</f>
        <v>#REF!</v>
      </c>
      <c r="BF38" s="170" t="e">
        <f>IF(#REF!="zákl. přenesená",J38,0)</f>
        <v>#REF!</v>
      </c>
      <c r="BG38" s="170" t="e">
        <f>IF(#REF!="sníž. přenesená",J38,0)</f>
        <v>#REF!</v>
      </c>
      <c r="BH38" s="170" t="e">
        <f>IF(#REF!="nulová",J38,0)</f>
        <v>#REF!</v>
      </c>
      <c r="BI38" s="154" t="s">
        <v>37</v>
      </c>
      <c r="BJ38" s="170">
        <f t="shared" si="9"/>
        <v>0</v>
      </c>
      <c r="BK38" s="154" t="s">
        <v>886</v>
      </c>
      <c r="BL38" s="169" t="s">
        <v>991</v>
      </c>
    </row>
    <row r="39" spans="1:64" s="148" customFormat="1" ht="16.5" customHeight="1">
      <c r="A39" s="396"/>
      <c r="B39" s="397"/>
      <c r="C39" s="407" t="s">
        <v>992</v>
      </c>
      <c r="D39" s="407" t="s">
        <v>882</v>
      </c>
      <c r="E39" s="408" t="s">
        <v>993</v>
      </c>
      <c r="F39" s="409" t="s">
        <v>994</v>
      </c>
      <c r="G39" s="410" t="s">
        <v>139</v>
      </c>
      <c r="H39" s="411">
        <v>30</v>
      </c>
      <c r="I39" s="675"/>
      <c r="J39" s="412">
        <f t="shared" si="5"/>
        <v>0</v>
      </c>
      <c r="K39" s="165" t="s">
        <v>885</v>
      </c>
      <c r="L39" s="149"/>
      <c r="M39" s="166"/>
      <c r="N39" s="167">
        <v>0.082</v>
      </c>
      <c r="O39" s="167">
        <f t="shared" si="6"/>
        <v>2.46</v>
      </c>
      <c r="P39" s="167">
        <v>1E-05</v>
      </c>
      <c r="Q39" s="167">
        <f t="shared" si="7"/>
        <v>0.00030000000000000003</v>
      </c>
      <c r="R39" s="167">
        <v>0</v>
      </c>
      <c r="S39" s="168">
        <f t="shared" si="8"/>
        <v>0</v>
      </c>
      <c r="AQ39" s="169" t="s">
        <v>886</v>
      </c>
      <c r="AS39" s="169" t="s">
        <v>882</v>
      </c>
      <c r="AT39" s="169" t="s">
        <v>38</v>
      </c>
      <c r="AX39" s="154" t="s">
        <v>879</v>
      </c>
      <c r="BD39" s="170" t="e">
        <f>IF(#REF!="základní",J39,0)</f>
        <v>#REF!</v>
      </c>
      <c r="BE39" s="170" t="e">
        <f>IF(#REF!="snížená",J39,0)</f>
        <v>#REF!</v>
      </c>
      <c r="BF39" s="170" t="e">
        <f>IF(#REF!="zákl. přenesená",J39,0)</f>
        <v>#REF!</v>
      </c>
      <c r="BG39" s="170" t="e">
        <f>IF(#REF!="sníž. přenesená",J39,0)</f>
        <v>#REF!</v>
      </c>
      <c r="BH39" s="170" t="e">
        <f>IF(#REF!="nulová",J39,0)</f>
        <v>#REF!</v>
      </c>
      <c r="BI39" s="154" t="s">
        <v>37</v>
      </c>
      <c r="BJ39" s="170">
        <f t="shared" si="9"/>
        <v>0</v>
      </c>
      <c r="BK39" s="154" t="s">
        <v>886</v>
      </c>
      <c r="BL39" s="169" t="s">
        <v>995</v>
      </c>
    </row>
    <row r="40" spans="1:64" s="148" customFormat="1" ht="24" customHeight="1">
      <c r="A40" s="396"/>
      <c r="B40" s="397"/>
      <c r="C40" s="407" t="s">
        <v>996</v>
      </c>
      <c r="D40" s="407" t="s">
        <v>882</v>
      </c>
      <c r="E40" s="408" t="s">
        <v>997</v>
      </c>
      <c r="F40" s="409" t="s">
        <v>998</v>
      </c>
      <c r="G40" s="410" t="s">
        <v>66</v>
      </c>
      <c r="H40" s="411">
        <v>0.01</v>
      </c>
      <c r="I40" s="675"/>
      <c r="J40" s="412">
        <f t="shared" si="5"/>
        <v>0</v>
      </c>
      <c r="K40" s="165" t="s">
        <v>885</v>
      </c>
      <c r="L40" s="149"/>
      <c r="M40" s="166"/>
      <c r="N40" s="167">
        <v>3.379</v>
      </c>
      <c r="O40" s="167">
        <f t="shared" si="6"/>
        <v>0.03379</v>
      </c>
      <c r="P40" s="167">
        <v>0</v>
      </c>
      <c r="Q40" s="167">
        <f t="shared" si="7"/>
        <v>0</v>
      </c>
      <c r="R40" s="167">
        <v>0</v>
      </c>
      <c r="S40" s="168">
        <f t="shared" si="8"/>
        <v>0</v>
      </c>
      <c r="AQ40" s="169" t="s">
        <v>886</v>
      </c>
      <c r="AS40" s="169" t="s">
        <v>882</v>
      </c>
      <c r="AT40" s="169" t="s">
        <v>38</v>
      </c>
      <c r="AX40" s="154" t="s">
        <v>879</v>
      </c>
      <c r="BD40" s="170" t="e">
        <f>IF(#REF!="základní",J40,0)</f>
        <v>#REF!</v>
      </c>
      <c r="BE40" s="170" t="e">
        <f>IF(#REF!="snížená",J40,0)</f>
        <v>#REF!</v>
      </c>
      <c r="BF40" s="170" t="e">
        <f>IF(#REF!="zákl. přenesená",J40,0)</f>
        <v>#REF!</v>
      </c>
      <c r="BG40" s="170" t="e">
        <f>IF(#REF!="sníž. přenesená",J40,0)</f>
        <v>#REF!</v>
      </c>
      <c r="BH40" s="170" t="e">
        <f>IF(#REF!="nulová",J40,0)</f>
        <v>#REF!</v>
      </c>
      <c r="BI40" s="154" t="s">
        <v>37</v>
      </c>
      <c r="BJ40" s="170">
        <f t="shared" si="9"/>
        <v>0</v>
      </c>
      <c r="BK40" s="154" t="s">
        <v>886</v>
      </c>
      <c r="BL40" s="169" t="s">
        <v>999</v>
      </c>
    </row>
    <row r="41" spans="1:64" s="148" customFormat="1" ht="16.5" customHeight="1">
      <c r="A41" s="396"/>
      <c r="B41" s="397"/>
      <c r="C41" s="407" t="s">
        <v>1000</v>
      </c>
      <c r="D41" s="407" t="s">
        <v>882</v>
      </c>
      <c r="E41" s="408" t="s">
        <v>1001</v>
      </c>
      <c r="F41" s="409" t="s">
        <v>1002</v>
      </c>
      <c r="G41" s="410" t="s">
        <v>25</v>
      </c>
      <c r="H41" s="411">
        <v>2</v>
      </c>
      <c r="I41" s="675"/>
      <c r="J41" s="412">
        <f t="shared" si="5"/>
        <v>0</v>
      </c>
      <c r="K41" s="165"/>
      <c r="L41" s="149"/>
      <c r="M41" s="166"/>
      <c r="N41" s="167">
        <v>0</v>
      </c>
      <c r="O41" s="167">
        <f t="shared" si="6"/>
        <v>0</v>
      </c>
      <c r="P41" s="167">
        <v>0</v>
      </c>
      <c r="Q41" s="167">
        <f t="shared" si="7"/>
        <v>0</v>
      </c>
      <c r="R41" s="167">
        <v>0</v>
      </c>
      <c r="S41" s="168">
        <f t="shared" si="8"/>
        <v>0</v>
      </c>
      <c r="AQ41" s="169" t="s">
        <v>886</v>
      </c>
      <c r="AS41" s="169" t="s">
        <v>882</v>
      </c>
      <c r="AT41" s="169" t="s">
        <v>38</v>
      </c>
      <c r="AX41" s="154" t="s">
        <v>879</v>
      </c>
      <c r="BD41" s="170" t="e">
        <f>IF(#REF!="základní",J41,0)</f>
        <v>#REF!</v>
      </c>
      <c r="BE41" s="170" t="e">
        <f>IF(#REF!="snížená",J41,0)</f>
        <v>#REF!</v>
      </c>
      <c r="BF41" s="170" t="e">
        <f>IF(#REF!="zákl. přenesená",J41,0)</f>
        <v>#REF!</v>
      </c>
      <c r="BG41" s="170" t="e">
        <f>IF(#REF!="sníž. přenesená",J41,0)</f>
        <v>#REF!</v>
      </c>
      <c r="BH41" s="170" t="e">
        <f>IF(#REF!="nulová",J41,0)</f>
        <v>#REF!</v>
      </c>
      <c r="BI41" s="154" t="s">
        <v>37</v>
      </c>
      <c r="BJ41" s="170">
        <f t="shared" si="9"/>
        <v>0</v>
      </c>
      <c r="BK41" s="154" t="s">
        <v>886</v>
      </c>
      <c r="BL41" s="169" t="s">
        <v>1003</v>
      </c>
    </row>
    <row r="42" spans="1:64" s="148" customFormat="1" ht="16.5" customHeight="1">
      <c r="A42" s="396"/>
      <c r="B42" s="397"/>
      <c r="C42" s="407" t="s">
        <v>1004</v>
      </c>
      <c r="D42" s="407" t="s">
        <v>882</v>
      </c>
      <c r="E42" s="408" t="s">
        <v>1005</v>
      </c>
      <c r="F42" s="409" t="s">
        <v>1006</v>
      </c>
      <c r="G42" s="410" t="s">
        <v>25</v>
      </c>
      <c r="H42" s="411">
        <v>1</v>
      </c>
      <c r="I42" s="675"/>
      <c r="J42" s="412">
        <f t="shared" si="5"/>
        <v>0</v>
      </c>
      <c r="K42" s="165"/>
      <c r="L42" s="149"/>
      <c r="M42" s="166"/>
      <c r="N42" s="167">
        <v>0</v>
      </c>
      <c r="O42" s="167">
        <f t="shared" si="6"/>
        <v>0</v>
      </c>
      <c r="P42" s="167">
        <v>0</v>
      </c>
      <c r="Q42" s="167">
        <f t="shared" si="7"/>
        <v>0</v>
      </c>
      <c r="R42" s="167">
        <v>0</v>
      </c>
      <c r="S42" s="168">
        <f t="shared" si="8"/>
        <v>0</v>
      </c>
      <c r="AQ42" s="169" t="s">
        <v>886</v>
      </c>
      <c r="AS42" s="169" t="s">
        <v>882</v>
      </c>
      <c r="AT42" s="169" t="s">
        <v>38</v>
      </c>
      <c r="AX42" s="154" t="s">
        <v>879</v>
      </c>
      <c r="BD42" s="170" t="e">
        <f>IF(#REF!="základní",J42,0)</f>
        <v>#REF!</v>
      </c>
      <c r="BE42" s="170" t="e">
        <f>IF(#REF!="snížená",J42,0)</f>
        <v>#REF!</v>
      </c>
      <c r="BF42" s="170" t="e">
        <f>IF(#REF!="zákl. přenesená",J42,0)</f>
        <v>#REF!</v>
      </c>
      <c r="BG42" s="170" t="e">
        <f>IF(#REF!="sníž. přenesená",J42,0)</f>
        <v>#REF!</v>
      </c>
      <c r="BH42" s="170" t="e">
        <f>IF(#REF!="nulová",J42,0)</f>
        <v>#REF!</v>
      </c>
      <c r="BI42" s="154" t="s">
        <v>37</v>
      </c>
      <c r="BJ42" s="170">
        <f t="shared" si="9"/>
        <v>0</v>
      </c>
      <c r="BK42" s="154" t="s">
        <v>886</v>
      </c>
      <c r="BL42" s="169" t="s">
        <v>1007</v>
      </c>
    </row>
    <row r="43" spans="1:64" s="148" customFormat="1" ht="24" customHeight="1">
      <c r="A43" s="396"/>
      <c r="B43" s="397"/>
      <c r="C43" s="407" t="s">
        <v>1008</v>
      </c>
      <c r="D43" s="407" t="s">
        <v>882</v>
      </c>
      <c r="E43" s="408" t="s">
        <v>1009</v>
      </c>
      <c r="F43" s="409" t="s">
        <v>1010</v>
      </c>
      <c r="G43" s="410" t="s">
        <v>25</v>
      </c>
      <c r="H43" s="411">
        <v>1</v>
      </c>
      <c r="I43" s="675"/>
      <c r="J43" s="412">
        <f t="shared" si="5"/>
        <v>0</v>
      </c>
      <c r="K43" s="165"/>
      <c r="L43" s="149"/>
      <c r="M43" s="166"/>
      <c r="N43" s="167">
        <v>0</v>
      </c>
      <c r="O43" s="167">
        <f t="shared" si="6"/>
        <v>0</v>
      </c>
      <c r="P43" s="167">
        <v>0</v>
      </c>
      <c r="Q43" s="167">
        <f t="shared" si="7"/>
        <v>0</v>
      </c>
      <c r="R43" s="167">
        <v>0</v>
      </c>
      <c r="S43" s="168">
        <f t="shared" si="8"/>
        <v>0</v>
      </c>
      <c r="AQ43" s="169" t="s">
        <v>886</v>
      </c>
      <c r="AS43" s="169" t="s">
        <v>882</v>
      </c>
      <c r="AT43" s="169" t="s">
        <v>38</v>
      </c>
      <c r="AX43" s="154" t="s">
        <v>879</v>
      </c>
      <c r="BD43" s="170" t="e">
        <f>IF(#REF!="základní",J43,0)</f>
        <v>#REF!</v>
      </c>
      <c r="BE43" s="170" t="e">
        <f>IF(#REF!="snížená",J43,0)</f>
        <v>#REF!</v>
      </c>
      <c r="BF43" s="170" t="e">
        <f>IF(#REF!="zákl. přenesená",J43,0)</f>
        <v>#REF!</v>
      </c>
      <c r="BG43" s="170" t="e">
        <f>IF(#REF!="sníž. přenesená",J43,0)</f>
        <v>#REF!</v>
      </c>
      <c r="BH43" s="170" t="e">
        <f>IF(#REF!="nulová",J43,0)</f>
        <v>#REF!</v>
      </c>
      <c r="BI43" s="154" t="s">
        <v>37</v>
      </c>
      <c r="BJ43" s="170">
        <f t="shared" si="9"/>
        <v>0</v>
      </c>
      <c r="BK43" s="154" t="s">
        <v>886</v>
      </c>
      <c r="BL43" s="169" t="s">
        <v>1011</v>
      </c>
    </row>
    <row r="44" spans="1:64" s="148" customFormat="1" ht="24" customHeight="1">
      <c r="A44" s="396"/>
      <c r="B44" s="397"/>
      <c r="C44" s="407" t="s">
        <v>1012</v>
      </c>
      <c r="D44" s="407" t="s">
        <v>882</v>
      </c>
      <c r="E44" s="408" t="s">
        <v>1013</v>
      </c>
      <c r="F44" s="409" t="s">
        <v>1014</v>
      </c>
      <c r="G44" s="410" t="s">
        <v>10</v>
      </c>
      <c r="H44" s="411">
        <v>197.771</v>
      </c>
      <c r="I44" s="675"/>
      <c r="J44" s="412">
        <f t="shared" si="5"/>
        <v>0</v>
      </c>
      <c r="K44" s="165" t="s">
        <v>885</v>
      </c>
      <c r="L44" s="149"/>
      <c r="M44" s="166"/>
      <c r="N44" s="167">
        <v>0</v>
      </c>
      <c r="O44" s="167">
        <f t="shared" si="6"/>
        <v>0</v>
      </c>
      <c r="P44" s="167">
        <v>0</v>
      </c>
      <c r="Q44" s="167">
        <f t="shared" si="7"/>
        <v>0</v>
      </c>
      <c r="R44" s="167">
        <v>0</v>
      </c>
      <c r="S44" s="168">
        <f t="shared" si="8"/>
        <v>0</v>
      </c>
      <c r="AQ44" s="169" t="s">
        <v>886</v>
      </c>
      <c r="AS44" s="169" t="s">
        <v>882</v>
      </c>
      <c r="AT44" s="169" t="s">
        <v>38</v>
      </c>
      <c r="AX44" s="154" t="s">
        <v>879</v>
      </c>
      <c r="BD44" s="170" t="e">
        <f>IF(#REF!="základní",J44,0)</f>
        <v>#REF!</v>
      </c>
      <c r="BE44" s="170" t="e">
        <f>IF(#REF!="snížená",J44,0)</f>
        <v>#REF!</v>
      </c>
      <c r="BF44" s="170" t="e">
        <f>IF(#REF!="zákl. přenesená",J44,0)</f>
        <v>#REF!</v>
      </c>
      <c r="BG44" s="170" t="e">
        <f>IF(#REF!="sníž. přenesená",J44,0)</f>
        <v>#REF!</v>
      </c>
      <c r="BH44" s="170" t="e">
        <f>IF(#REF!="nulová",J44,0)</f>
        <v>#REF!</v>
      </c>
      <c r="BI44" s="154" t="s">
        <v>37</v>
      </c>
      <c r="BJ44" s="170">
        <f t="shared" si="9"/>
        <v>0</v>
      </c>
      <c r="BK44" s="154" t="s">
        <v>886</v>
      </c>
      <c r="BL44" s="169" t="s">
        <v>1015</v>
      </c>
    </row>
    <row r="45" spans="1:62" s="156" customFormat="1" ht="22.95" customHeight="1">
      <c r="A45" s="400"/>
      <c r="B45" s="401"/>
      <c r="C45" s="400"/>
      <c r="D45" s="402" t="s">
        <v>876</v>
      </c>
      <c r="E45" s="405" t="s">
        <v>1016</v>
      </c>
      <c r="F45" s="405" t="s">
        <v>1017</v>
      </c>
      <c r="G45" s="400"/>
      <c r="H45" s="400"/>
      <c r="I45" s="676"/>
      <c r="J45" s="406">
        <f>BJ45</f>
        <v>0</v>
      </c>
      <c r="L45" s="157"/>
      <c r="M45" s="159"/>
      <c r="N45" s="160"/>
      <c r="O45" s="161">
        <f>SUM(O46:O48)</f>
        <v>0.073516</v>
      </c>
      <c r="P45" s="160"/>
      <c r="Q45" s="161">
        <f>SUM(Q46:Q48)</f>
        <v>0.00022</v>
      </c>
      <c r="R45" s="160"/>
      <c r="S45" s="162">
        <f>SUM(S46:S48)</f>
        <v>0.0043</v>
      </c>
      <c r="AQ45" s="158" t="s">
        <v>38</v>
      </c>
      <c r="AS45" s="163" t="s">
        <v>876</v>
      </c>
      <c r="AT45" s="163" t="s">
        <v>37</v>
      </c>
      <c r="AX45" s="158" t="s">
        <v>879</v>
      </c>
      <c r="BJ45" s="164">
        <f>SUM(BJ46:BJ48)</f>
        <v>0</v>
      </c>
    </row>
    <row r="46" spans="1:64" s="148" customFormat="1" ht="24" customHeight="1">
      <c r="A46" s="396"/>
      <c r="B46" s="397"/>
      <c r="C46" s="407" t="s">
        <v>1018</v>
      </c>
      <c r="D46" s="407" t="s">
        <v>882</v>
      </c>
      <c r="E46" s="408" t="s">
        <v>1019</v>
      </c>
      <c r="F46" s="409" t="s">
        <v>1020</v>
      </c>
      <c r="G46" s="410" t="s">
        <v>139</v>
      </c>
      <c r="H46" s="411">
        <v>2</v>
      </c>
      <c r="I46" s="675"/>
      <c r="J46" s="412">
        <f>ROUND(I46*H46,2)</f>
        <v>0</v>
      </c>
      <c r="K46" s="165" t="s">
        <v>885</v>
      </c>
      <c r="L46" s="149"/>
      <c r="M46" s="166"/>
      <c r="N46" s="167">
        <v>0.03</v>
      </c>
      <c r="O46" s="167">
        <f>N46*H46</f>
        <v>0.06</v>
      </c>
      <c r="P46" s="167">
        <v>0.00011</v>
      </c>
      <c r="Q46" s="167">
        <f>P46*H46</f>
        <v>0.00022</v>
      </c>
      <c r="R46" s="167">
        <v>0.00215</v>
      </c>
      <c r="S46" s="168">
        <f>R46*H46</f>
        <v>0.0043</v>
      </c>
      <c r="AQ46" s="169" t="s">
        <v>886</v>
      </c>
      <c r="AS46" s="169" t="s">
        <v>882</v>
      </c>
      <c r="AT46" s="169" t="s">
        <v>38</v>
      </c>
      <c r="AX46" s="154" t="s">
        <v>879</v>
      </c>
      <c r="BD46" s="170" t="e">
        <f>IF(#REF!="základní",J46,0)</f>
        <v>#REF!</v>
      </c>
      <c r="BE46" s="170" t="e">
        <f>IF(#REF!="snížená",J46,0)</f>
        <v>#REF!</v>
      </c>
      <c r="BF46" s="170" t="e">
        <f>IF(#REF!="zákl. přenesená",J46,0)</f>
        <v>#REF!</v>
      </c>
      <c r="BG46" s="170" t="e">
        <f>IF(#REF!="sníž. přenesená",J46,0)</f>
        <v>#REF!</v>
      </c>
      <c r="BH46" s="170" t="e">
        <f>IF(#REF!="nulová",J46,0)</f>
        <v>#REF!</v>
      </c>
      <c r="BI46" s="154" t="s">
        <v>37</v>
      </c>
      <c r="BJ46" s="170">
        <f>ROUND(I46*H46,2)</f>
        <v>0</v>
      </c>
      <c r="BK46" s="154" t="s">
        <v>886</v>
      </c>
      <c r="BL46" s="169" t="s">
        <v>1021</v>
      </c>
    </row>
    <row r="47" spans="1:64" s="148" customFormat="1" ht="24" customHeight="1">
      <c r="A47" s="396"/>
      <c r="B47" s="397"/>
      <c r="C47" s="407" t="s">
        <v>1022</v>
      </c>
      <c r="D47" s="407" t="s">
        <v>882</v>
      </c>
      <c r="E47" s="408" t="s">
        <v>1023</v>
      </c>
      <c r="F47" s="409" t="s">
        <v>1024</v>
      </c>
      <c r="G47" s="410" t="s">
        <v>66</v>
      </c>
      <c r="H47" s="411">
        <v>0.004</v>
      </c>
      <c r="I47" s="675"/>
      <c r="J47" s="412">
        <f>ROUND(I47*H47,2)</f>
        <v>0</v>
      </c>
      <c r="K47" s="165" t="s">
        <v>885</v>
      </c>
      <c r="L47" s="149"/>
      <c r="M47" s="166"/>
      <c r="N47" s="167">
        <v>3.379</v>
      </c>
      <c r="O47" s="167">
        <f>N47*H47</f>
        <v>0.013516</v>
      </c>
      <c r="P47" s="167">
        <v>0</v>
      </c>
      <c r="Q47" s="167">
        <f>P47*H47</f>
        <v>0</v>
      </c>
      <c r="R47" s="167">
        <v>0</v>
      </c>
      <c r="S47" s="168">
        <f>R47*H47</f>
        <v>0</v>
      </c>
      <c r="AQ47" s="169" t="s">
        <v>886</v>
      </c>
      <c r="AS47" s="169" t="s">
        <v>882</v>
      </c>
      <c r="AT47" s="169" t="s">
        <v>38</v>
      </c>
      <c r="AX47" s="154" t="s">
        <v>879</v>
      </c>
      <c r="BD47" s="170" t="e">
        <f>IF(#REF!="základní",J47,0)</f>
        <v>#REF!</v>
      </c>
      <c r="BE47" s="170" t="e">
        <f>IF(#REF!="snížená",J47,0)</f>
        <v>#REF!</v>
      </c>
      <c r="BF47" s="170" t="e">
        <f>IF(#REF!="zákl. přenesená",J47,0)</f>
        <v>#REF!</v>
      </c>
      <c r="BG47" s="170" t="e">
        <f>IF(#REF!="sníž. přenesená",J47,0)</f>
        <v>#REF!</v>
      </c>
      <c r="BH47" s="170" t="e">
        <f>IF(#REF!="nulová",J47,0)</f>
        <v>#REF!</v>
      </c>
      <c r="BI47" s="154" t="s">
        <v>37</v>
      </c>
      <c r="BJ47" s="170">
        <f>ROUND(I47*H47,2)</f>
        <v>0</v>
      </c>
      <c r="BK47" s="154" t="s">
        <v>886</v>
      </c>
      <c r="BL47" s="169" t="s">
        <v>1025</v>
      </c>
    </row>
    <row r="48" spans="1:64" s="148" customFormat="1" ht="16.5" customHeight="1">
      <c r="A48" s="396"/>
      <c r="B48" s="397"/>
      <c r="C48" s="407" t="s">
        <v>1026</v>
      </c>
      <c r="D48" s="407" t="s">
        <v>882</v>
      </c>
      <c r="E48" s="408" t="s">
        <v>1027</v>
      </c>
      <c r="F48" s="409" t="s">
        <v>1028</v>
      </c>
      <c r="G48" s="410" t="s">
        <v>25</v>
      </c>
      <c r="H48" s="411">
        <v>1</v>
      </c>
      <c r="I48" s="675"/>
      <c r="J48" s="412">
        <f>ROUND(I48*H48,2)</f>
        <v>0</v>
      </c>
      <c r="K48" s="165"/>
      <c r="L48" s="149"/>
      <c r="M48" s="166"/>
      <c r="N48" s="167">
        <v>0</v>
      </c>
      <c r="O48" s="167">
        <f>N48*H48</f>
        <v>0</v>
      </c>
      <c r="P48" s="167">
        <v>0</v>
      </c>
      <c r="Q48" s="167">
        <f>P48*H48</f>
        <v>0</v>
      </c>
      <c r="R48" s="167">
        <v>0</v>
      </c>
      <c r="S48" s="168">
        <f>R48*H48</f>
        <v>0</v>
      </c>
      <c r="AQ48" s="169" t="s">
        <v>886</v>
      </c>
      <c r="AS48" s="169" t="s">
        <v>882</v>
      </c>
      <c r="AT48" s="169" t="s">
        <v>38</v>
      </c>
      <c r="AX48" s="154" t="s">
        <v>879</v>
      </c>
      <c r="BD48" s="170" t="e">
        <f>IF(#REF!="základní",J48,0)</f>
        <v>#REF!</v>
      </c>
      <c r="BE48" s="170" t="e">
        <f>IF(#REF!="snížená",J48,0)</f>
        <v>#REF!</v>
      </c>
      <c r="BF48" s="170" t="e">
        <f>IF(#REF!="zákl. přenesená",J48,0)</f>
        <v>#REF!</v>
      </c>
      <c r="BG48" s="170" t="e">
        <f>IF(#REF!="sníž. přenesená",J48,0)</f>
        <v>#REF!</v>
      </c>
      <c r="BH48" s="170" t="e">
        <f>IF(#REF!="nulová",J48,0)</f>
        <v>#REF!</v>
      </c>
      <c r="BI48" s="154" t="s">
        <v>37</v>
      </c>
      <c r="BJ48" s="170">
        <f>ROUND(I48*H48,2)</f>
        <v>0</v>
      </c>
      <c r="BK48" s="154" t="s">
        <v>886</v>
      </c>
      <c r="BL48" s="169" t="s">
        <v>1029</v>
      </c>
    </row>
    <row r="49" spans="1:62" s="156" customFormat="1" ht="22.95" customHeight="1">
      <c r="A49" s="400"/>
      <c r="B49" s="401"/>
      <c r="C49" s="400"/>
      <c r="D49" s="402" t="s">
        <v>876</v>
      </c>
      <c r="E49" s="405" t="s">
        <v>1030</v>
      </c>
      <c r="F49" s="405" t="s">
        <v>1031</v>
      </c>
      <c r="G49" s="400"/>
      <c r="H49" s="400"/>
      <c r="I49" s="676"/>
      <c r="J49" s="406">
        <f>BJ49</f>
        <v>0</v>
      </c>
      <c r="L49" s="157"/>
      <c r="M49" s="159"/>
      <c r="N49" s="160"/>
      <c r="O49" s="161">
        <f>SUM(O50:O65)</f>
        <v>9.234843999999997</v>
      </c>
      <c r="P49" s="160"/>
      <c r="Q49" s="161">
        <f>SUM(Q50:Q65)</f>
        <v>0.03896000000000001</v>
      </c>
      <c r="R49" s="160"/>
      <c r="S49" s="162">
        <f>SUM(S50:S65)</f>
        <v>0.07554999999999999</v>
      </c>
      <c r="AQ49" s="158" t="s">
        <v>38</v>
      </c>
      <c r="AS49" s="163" t="s">
        <v>876</v>
      </c>
      <c r="AT49" s="163" t="s">
        <v>37</v>
      </c>
      <c r="AX49" s="158" t="s">
        <v>879</v>
      </c>
      <c r="BJ49" s="164">
        <f>SUM(BJ50:BJ65)</f>
        <v>0</v>
      </c>
    </row>
    <row r="50" spans="1:64" s="148" customFormat="1" ht="16.5" customHeight="1">
      <c r="A50" s="396"/>
      <c r="B50" s="397"/>
      <c r="C50" s="407" t="s">
        <v>1032</v>
      </c>
      <c r="D50" s="407" t="s">
        <v>882</v>
      </c>
      <c r="E50" s="408" t="s">
        <v>1033</v>
      </c>
      <c r="F50" s="409" t="s">
        <v>1034</v>
      </c>
      <c r="G50" s="410" t="s">
        <v>1035</v>
      </c>
      <c r="H50" s="411">
        <v>1</v>
      </c>
      <c r="I50" s="675"/>
      <c r="J50" s="412">
        <f aca="true" t="shared" si="10" ref="J50:J65">ROUND(I50*H50,2)</f>
        <v>0</v>
      </c>
      <c r="K50" s="165" t="s">
        <v>885</v>
      </c>
      <c r="L50" s="149"/>
      <c r="M50" s="166"/>
      <c r="N50" s="167">
        <v>0.465</v>
      </c>
      <c r="O50" s="167">
        <f aca="true" t="shared" si="11" ref="O50:O65">N50*H50</f>
        <v>0.465</v>
      </c>
      <c r="P50" s="167">
        <v>0</v>
      </c>
      <c r="Q50" s="167">
        <f aca="true" t="shared" si="12" ref="Q50:Q65">P50*H50</f>
        <v>0</v>
      </c>
      <c r="R50" s="167">
        <v>0.0342</v>
      </c>
      <c r="S50" s="168">
        <f aca="true" t="shared" si="13" ref="S50:S65">R50*H50</f>
        <v>0.0342</v>
      </c>
      <c r="AQ50" s="169" t="s">
        <v>886</v>
      </c>
      <c r="AS50" s="169" t="s">
        <v>882</v>
      </c>
      <c r="AT50" s="169" t="s">
        <v>38</v>
      </c>
      <c r="AX50" s="154" t="s">
        <v>879</v>
      </c>
      <c r="BD50" s="170" t="e">
        <f>IF(#REF!="základní",J50,0)</f>
        <v>#REF!</v>
      </c>
      <c r="BE50" s="170" t="e">
        <f>IF(#REF!="snížená",J50,0)</f>
        <v>#REF!</v>
      </c>
      <c r="BF50" s="170" t="e">
        <f>IF(#REF!="zákl. přenesená",J50,0)</f>
        <v>#REF!</v>
      </c>
      <c r="BG50" s="170" t="e">
        <f>IF(#REF!="sníž. přenesená",J50,0)</f>
        <v>#REF!</v>
      </c>
      <c r="BH50" s="170" t="e">
        <f>IF(#REF!="nulová",J50,0)</f>
        <v>#REF!</v>
      </c>
      <c r="BI50" s="154" t="s">
        <v>37</v>
      </c>
      <c r="BJ50" s="170">
        <f aca="true" t="shared" si="14" ref="BJ50:BJ65">ROUND(I50*H50,2)</f>
        <v>0</v>
      </c>
      <c r="BK50" s="154" t="s">
        <v>886</v>
      </c>
      <c r="BL50" s="169" t="s">
        <v>1036</v>
      </c>
    </row>
    <row r="51" spans="1:64" s="148" customFormat="1" ht="24" customHeight="1">
      <c r="A51" s="396"/>
      <c r="B51" s="397"/>
      <c r="C51" s="407" t="s">
        <v>1037</v>
      </c>
      <c r="D51" s="407" t="s">
        <v>882</v>
      </c>
      <c r="E51" s="408" t="s">
        <v>1038</v>
      </c>
      <c r="F51" s="409" t="s">
        <v>1039</v>
      </c>
      <c r="G51" s="410" t="s">
        <v>1035</v>
      </c>
      <c r="H51" s="411">
        <v>1</v>
      </c>
      <c r="I51" s="675"/>
      <c r="J51" s="412">
        <f t="shared" si="10"/>
        <v>0</v>
      </c>
      <c r="K51" s="165" t="s">
        <v>885</v>
      </c>
      <c r="L51" s="149"/>
      <c r="M51" s="166"/>
      <c r="N51" s="167">
        <v>1.1</v>
      </c>
      <c r="O51" s="167">
        <f t="shared" si="11"/>
        <v>1.1</v>
      </c>
      <c r="P51" s="167">
        <v>0.01692</v>
      </c>
      <c r="Q51" s="167">
        <f t="shared" si="12"/>
        <v>0.01692</v>
      </c>
      <c r="R51" s="167">
        <v>0</v>
      </c>
      <c r="S51" s="168">
        <f t="shared" si="13"/>
        <v>0</v>
      </c>
      <c r="AQ51" s="169" t="s">
        <v>886</v>
      </c>
      <c r="AS51" s="169" t="s">
        <v>882</v>
      </c>
      <c r="AT51" s="169" t="s">
        <v>38</v>
      </c>
      <c r="AX51" s="154" t="s">
        <v>879</v>
      </c>
      <c r="BD51" s="170" t="e">
        <f>IF(#REF!="základní",J51,0)</f>
        <v>#REF!</v>
      </c>
      <c r="BE51" s="170" t="e">
        <f>IF(#REF!="snížená",J51,0)</f>
        <v>#REF!</v>
      </c>
      <c r="BF51" s="170" t="e">
        <f>IF(#REF!="zákl. přenesená",J51,0)</f>
        <v>#REF!</v>
      </c>
      <c r="BG51" s="170" t="e">
        <f>IF(#REF!="sníž. přenesená",J51,0)</f>
        <v>#REF!</v>
      </c>
      <c r="BH51" s="170" t="e">
        <f>IF(#REF!="nulová",J51,0)</f>
        <v>#REF!</v>
      </c>
      <c r="BI51" s="154" t="s">
        <v>37</v>
      </c>
      <c r="BJ51" s="170">
        <f t="shared" si="14"/>
        <v>0</v>
      </c>
      <c r="BK51" s="154" t="s">
        <v>886</v>
      </c>
      <c r="BL51" s="169" t="s">
        <v>1040</v>
      </c>
    </row>
    <row r="52" spans="1:64" s="148" customFormat="1" ht="16.5" customHeight="1">
      <c r="A52" s="396"/>
      <c r="B52" s="397"/>
      <c r="C52" s="407" t="s">
        <v>1041</v>
      </c>
      <c r="D52" s="407" t="s">
        <v>882</v>
      </c>
      <c r="E52" s="408" t="s">
        <v>1042</v>
      </c>
      <c r="F52" s="409" t="s">
        <v>1043</v>
      </c>
      <c r="G52" s="410" t="s">
        <v>1035</v>
      </c>
      <c r="H52" s="411">
        <v>1</v>
      </c>
      <c r="I52" s="675"/>
      <c r="J52" s="412">
        <f t="shared" si="10"/>
        <v>0</v>
      </c>
      <c r="K52" s="165" t="s">
        <v>885</v>
      </c>
      <c r="L52" s="149"/>
      <c r="M52" s="166"/>
      <c r="N52" s="167">
        <v>0.362</v>
      </c>
      <c r="O52" s="167">
        <f t="shared" si="11"/>
        <v>0.362</v>
      </c>
      <c r="P52" s="167">
        <v>0</v>
      </c>
      <c r="Q52" s="167">
        <f t="shared" si="12"/>
        <v>0</v>
      </c>
      <c r="R52" s="167">
        <v>0.01946</v>
      </c>
      <c r="S52" s="168">
        <f t="shared" si="13"/>
        <v>0.01946</v>
      </c>
      <c r="AQ52" s="169" t="s">
        <v>886</v>
      </c>
      <c r="AS52" s="169" t="s">
        <v>882</v>
      </c>
      <c r="AT52" s="169" t="s">
        <v>38</v>
      </c>
      <c r="AX52" s="154" t="s">
        <v>879</v>
      </c>
      <c r="BD52" s="170" t="e">
        <f>IF(#REF!="základní",J52,0)</f>
        <v>#REF!</v>
      </c>
      <c r="BE52" s="170" t="e">
        <f>IF(#REF!="snížená",J52,0)</f>
        <v>#REF!</v>
      </c>
      <c r="BF52" s="170" t="e">
        <f>IF(#REF!="zákl. přenesená",J52,0)</f>
        <v>#REF!</v>
      </c>
      <c r="BG52" s="170" t="e">
        <f>IF(#REF!="sníž. přenesená",J52,0)</f>
        <v>#REF!</v>
      </c>
      <c r="BH52" s="170" t="e">
        <f>IF(#REF!="nulová",J52,0)</f>
        <v>#REF!</v>
      </c>
      <c r="BI52" s="154" t="s">
        <v>37</v>
      </c>
      <c r="BJ52" s="170">
        <f t="shared" si="14"/>
        <v>0</v>
      </c>
      <c r="BK52" s="154" t="s">
        <v>886</v>
      </c>
      <c r="BL52" s="169" t="s">
        <v>1044</v>
      </c>
    </row>
    <row r="53" spans="1:64" s="148" customFormat="1" ht="24" customHeight="1">
      <c r="A53" s="396"/>
      <c r="B53" s="397"/>
      <c r="C53" s="407" t="s">
        <v>1045</v>
      </c>
      <c r="D53" s="407" t="s">
        <v>882</v>
      </c>
      <c r="E53" s="408" t="s">
        <v>1046</v>
      </c>
      <c r="F53" s="409" t="s">
        <v>1047</v>
      </c>
      <c r="G53" s="410" t="s">
        <v>1035</v>
      </c>
      <c r="H53" s="411">
        <v>1</v>
      </c>
      <c r="I53" s="675"/>
      <c r="J53" s="412">
        <f t="shared" si="10"/>
        <v>0</v>
      </c>
      <c r="K53" s="165" t="s">
        <v>885</v>
      </c>
      <c r="L53" s="149"/>
      <c r="M53" s="166"/>
      <c r="N53" s="167">
        <v>1.2</v>
      </c>
      <c r="O53" s="167">
        <f t="shared" si="11"/>
        <v>1.2</v>
      </c>
      <c r="P53" s="167">
        <v>0.01675</v>
      </c>
      <c r="Q53" s="167">
        <f t="shared" si="12"/>
        <v>0.01675</v>
      </c>
      <c r="R53" s="167">
        <v>0</v>
      </c>
      <c r="S53" s="168">
        <f t="shared" si="13"/>
        <v>0</v>
      </c>
      <c r="AQ53" s="169" t="s">
        <v>886</v>
      </c>
      <c r="AS53" s="169" t="s">
        <v>882</v>
      </c>
      <c r="AT53" s="169" t="s">
        <v>38</v>
      </c>
      <c r="AX53" s="154" t="s">
        <v>879</v>
      </c>
      <c r="BD53" s="170" t="e">
        <f>IF(#REF!="základní",J53,0)</f>
        <v>#REF!</v>
      </c>
      <c r="BE53" s="170" t="e">
        <f>IF(#REF!="snížená",J53,0)</f>
        <v>#REF!</v>
      </c>
      <c r="BF53" s="170" t="e">
        <f>IF(#REF!="zákl. přenesená",J53,0)</f>
        <v>#REF!</v>
      </c>
      <c r="BG53" s="170" t="e">
        <f>IF(#REF!="sníž. přenesená",J53,0)</f>
        <v>#REF!</v>
      </c>
      <c r="BH53" s="170" t="e">
        <f>IF(#REF!="nulová",J53,0)</f>
        <v>#REF!</v>
      </c>
      <c r="BI53" s="154" t="s">
        <v>37</v>
      </c>
      <c r="BJ53" s="170">
        <f t="shared" si="14"/>
        <v>0</v>
      </c>
      <c r="BK53" s="154" t="s">
        <v>886</v>
      </c>
      <c r="BL53" s="169" t="s">
        <v>1048</v>
      </c>
    </row>
    <row r="54" spans="1:64" s="148" customFormat="1" ht="24" customHeight="1">
      <c r="A54" s="396"/>
      <c r="B54" s="397"/>
      <c r="C54" s="407" t="s">
        <v>1049</v>
      </c>
      <c r="D54" s="407" t="s">
        <v>882</v>
      </c>
      <c r="E54" s="408" t="s">
        <v>1050</v>
      </c>
      <c r="F54" s="409" t="s">
        <v>1051</v>
      </c>
      <c r="G54" s="410" t="s">
        <v>1035</v>
      </c>
      <c r="H54" s="411">
        <v>1</v>
      </c>
      <c r="I54" s="675"/>
      <c r="J54" s="412">
        <f t="shared" si="10"/>
        <v>0</v>
      </c>
      <c r="K54" s="165" t="s">
        <v>885</v>
      </c>
      <c r="L54" s="149"/>
      <c r="M54" s="166"/>
      <c r="N54" s="167">
        <v>0.362</v>
      </c>
      <c r="O54" s="167">
        <f t="shared" si="11"/>
        <v>0.362</v>
      </c>
      <c r="P54" s="167">
        <v>0</v>
      </c>
      <c r="Q54" s="167">
        <f t="shared" si="12"/>
        <v>0</v>
      </c>
      <c r="R54" s="167">
        <v>0.01707</v>
      </c>
      <c r="S54" s="168">
        <f t="shared" si="13"/>
        <v>0.01707</v>
      </c>
      <c r="AQ54" s="169" t="s">
        <v>886</v>
      </c>
      <c r="AS54" s="169" t="s">
        <v>882</v>
      </c>
      <c r="AT54" s="169" t="s">
        <v>38</v>
      </c>
      <c r="AX54" s="154" t="s">
        <v>879</v>
      </c>
      <c r="BD54" s="170" t="e">
        <f>IF(#REF!="základní",J54,0)</f>
        <v>#REF!</v>
      </c>
      <c r="BE54" s="170" t="e">
        <f>IF(#REF!="snížená",J54,0)</f>
        <v>#REF!</v>
      </c>
      <c r="BF54" s="170" t="e">
        <f>IF(#REF!="zákl. přenesená",J54,0)</f>
        <v>#REF!</v>
      </c>
      <c r="BG54" s="170" t="e">
        <f>IF(#REF!="sníž. přenesená",J54,0)</f>
        <v>#REF!</v>
      </c>
      <c r="BH54" s="170" t="e">
        <f>IF(#REF!="nulová",J54,0)</f>
        <v>#REF!</v>
      </c>
      <c r="BI54" s="154" t="s">
        <v>37</v>
      </c>
      <c r="BJ54" s="170">
        <f t="shared" si="14"/>
        <v>0</v>
      </c>
      <c r="BK54" s="154" t="s">
        <v>886</v>
      </c>
      <c r="BL54" s="169" t="s">
        <v>1052</v>
      </c>
    </row>
    <row r="55" spans="1:64" s="148" customFormat="1" ht="16.5" customHeight="1">
      <c r="A55" s="396"/>
      <c r="B55" s="397"/>
      <c r="C55" s="407" t="s">
        <v>1053</v>
      </c>
      <c r="D55" s="407" t="s">
        <v>882</v>
      </c>
      <c r="E55" s="408" t="s">
        <v>1054</v>
      </c>
      <c r="F55" s="409" t="s">
        <v>1055</v>
      </c>
      <c r="G55" s="410" t="s">
        <v>25</v>
      </c>
      <c r="H55" s="411">
        <v>1</v>
      </c>
      <c r="I55" s="675"/>
      <c r="J55" s="412">
        <f t="shared" si="10"/>
        <v>0</v>
      </c>
      <c r="K55" s="165" t="s">
        <v>885</v>
      </c>
      <c r="L55" s="149"/>
      <c r="M55" s="166"/>
      <c r="N55" s="167">
        <v>0.292</v>
      </c>
      <c r="O55" s="167">
        <f t="shared" si="11"/>
        <v>0.292</v>
      </c>
      <c r="P55" s="167">
        <v>0</v>
      </c>
      <c r="Q55" s="167">
        <f t="shared" si="12"/>
        <v>0</v>
      </c>
      <c r="R55" s="167">
        <v>0</v>
      </c>
      <c r="S55" s="168">
        <f t="shared" si="13"/>
        <v>0</v>
      </c>
      <c r="AQ55" s="169" t="s">
        <v>886</v>
      </c>
      <c r="AS55" s="169" t="s">
        <v>882</v>
      </c>
      <c r="AT55" s="169" t="s">
        <v>38</v>
      </c>
      <c r="AX55" s="154" t="s">
        <v>879</v>
      </c>
      <c r="BD55" s="170" t="e">
        <f>IF(#REF!="základní",J55,0)</f>
        <v>#REF!</v>
      </c>
      <c r="BE55" s="170" t="e">
        <f>IF(#REF!="snížená",J55,0)</f>
        <v>#REF!</v>
      </c>
      <c r="BF55" s="170" t="e">
        <f>IF(#REF!="zákl. přenesená",J55,0)</f>
        <v>#REF!</v>
      </c>
      <c r="BG55" s="170" t="e">
        <f>IF(#REF!="sníž. přenesená",J55,0)</f>
        <v>#REF!</v>
      </c>
      <c r="BH55" s="170" t="e">
        <f>IF(#REF!="nulová",J55,0)</f>
        <v>#REF!</v>
      </c>
      <c r="BI55" s="154" t="s">
        <v>37</v>
      </c>
      <c r="BJ55" s="170">
        <f t="shared" si="14"/>
        <v>0</v>
      </c>
      <c r="BK55" s="154" t="s">
        <v>886</v>
      </c>
      <c r="BL55" s="169" t="s">
        <v>1056</v>
      </c>
    </row>
    <row r="56" spans="1:64" s="148" customFormat="1" ht="24" customHeight="1">
      <c r="A56" s="396"/>
      <c r="B56" s="397"/>
      <c r="C56" s="407" t="s">
        <v>1057</v>
      </c>
      <c r="D56" s="407" t="s">
        <v>882</v>
      </c>
      <c r="E56" s="408" t="s">
        <v>1058</v>
      </c>
      <c r="F56" s="409" t="s">
        <v>1059</v>
      </c>
      <c r="G56" s="410" t="s">
        <v>66</v>
      </c>
      <c r="H56" s="411">
        <v>1.076</v>
      </c>
      <c r="I56" s="675"/>
      <c r="J56" s="412">
        <f t="shared" si="10"/>
        <v>0</v>
      </c>
      <c r="K56" s="165" t="s">
        <v>885</v>
      </c>
      <c r="L56" s="149"/>
      <c r="M56" s="166"/>
      <c r="N56" s="167">
        <v>3.169</v>
      </c>
      <c r="O56" s="167">
        <f t="shared" si="11"/>
        <v>3.409844</v>
      </c>
      <c r="P56" s="167">
        <v>0</v>
      </c>
      <c r="Q56" s="167">
        <f t="shared" si="12"/>
        <v>0</v>
      </c>
      <c r="R56" s="167">
        <v>0</v>
      </c>
      <c r="S56" s="168">
        <f t="shared" si="13"/>
        <v>0</v>
      </c>
      <c r="AQ56" s="169" t="s">
        <v>886</v>
      </c>
      <c r="AS56" s="169" t="s">
        <v>882</v>
      </c>
      <c r="AT56" s="169" t="s">
        <v>38</v>
      </c>
      <c r="AX56" s="154" t="s">
        <v>879</v>
      </c>
      <c r="BD56" s="170" t="e">
        <f>IF(#REF!="základní",J56,0)</f>
        <v>#REF!</v>
      </c>
      <c r="BE56" s="170" t="e">
        <f>IF(#REF!="snížená",J56,0)</f>
        <v>#REF!</v>
      </c>
      <c r="BF56" s="170" t="e">
        <f>IF(#REF!="zákl. přenesená",J56,0)</f>
        <v>#REF!</v>
      </c>
      <c r="BG56" s="170" t="e">
        <f>IF(#REF!="sníž. přenesená",J56,0)</f>
        <v>#REF!</v>
      </c>
      <c r="BH56" s="170" t="e">
        <f>IF(#REF!="nulová",J56,0)</f>
        <v>#REF!</v>
      </c>
      <c r="BI56" s="154" t="s">
        <v>37</v>
      </c>
      <c r="BJ56" s="170">
        <f t="shared" si="14"/>
        <v>0</v>
      </c>
      <c r="BK56" s="154" t="s">
        <v>886</v>
      </c>
      <c r="BL56" s="169" t="s">
        <v>1060</v>
      </c>
    </row>
    <row r="57" spans="1:64" s="148" customFormat="1" ht="24" customHeight="1">
      <c r="A57" s="396"/>
      <c r="B57" s="397"/>
      <c r="C57" s="407" t="s">
        <v>1061</v>
      </c>
      <c r="D57" s="407" t="s">
        <v>882</v>
      </c>
      <c r="E57" s="408" t="s">
        <v>1062</v>
      </c>
      <c r="F57" s="409" t="s">
        <v>1063</v>
      </c>
      <c r="G57" s="410" t="s">
        <v>1035</v>
      </c>
      <c r="H57" s="411">
        <v>2</v>
      </c>
      <c r="I57" s="675"/>
      <c r="J57" s="412">
        <f t="shared" si="10"/>
        <v>0</v>
      </c>
      <c r="K57" s="165" t="s">
        <v>885</v>
      </c>
      <c r="L57" s="149"/>
      <c r="M57" s="166"/>
      <c r="N57" s="167">
        <v>0.227</v>
      </c>
      <c r="O57" s="167">
        <f t="shared" si="11"/>
        <v>0.454</v>
      </c>
      <c r="P57" s="167">
        <v>0.0003</v>
      </c>
      <c r="Q57" s="167">
        <f t="shared" si="12"/>
        <v>0.0006</v>
      </c>
      <c r="R57" s="167">
        <v>0</v>
      </c>
      <c r="S57" s="168">
        <f t="shared" si="13"/>
        <v>0</v>
      </c>
      <c r="AQ57" s="169" t="s">
        <v>886</v>
      </c>
      <c r="AS57" s="169" t="s">
        <v>882</v>
      </c>
      <c r="AT57" s="169" t="s">
        <v>38</v>
      </c>
      <c r="AX57" s="154" t="s">
        <v>879</v>
      </c>
      <c r="BD57" s="170" t="e">
        <f>IF(#REF!="základní",J57,0)</f>
        <v>#REF!</v>
      </c>
      <c r="BE57" s="170" t="e">
        <f>IF(#REF!="snížená",J57,0)</f>
        <v>#REF!</v>
      </c>
      <c r="BF57" s="170" t="e">
        <f>IF(#REF!="zákl. přenesená",J57,0)</f>
        <v>#REF!</v>
      </c>
      <c r="BG57" s="170" t="e">
        <f>IF(#REF!="sníž. přenesená",J57,0)</f>
        <v>#REF!</v>
      </c>
      <c r="BH57" s="170" t="e">
        <f>IF(#REF!="nulová",J57,0)</f>
        <v>#REF!</v>
      </c>
      <c r="BI57" s="154" t="s">
        <v>37</v>
      </c>
      <c r="BJ57" s="170">
        <f t="shared" si="14"/>
        <v>0</v>
      </c>
      <c r="BK57" s="154" t="s">
        <v>886</v>
      </c>
      <c r="BL57" s="169" t="s">
        <v>1064</v>
      </c>
    </row>
    <row r="58" spans="1:64" s="148" customFormat="1" ht="24" customHeight="1">
      <c r="A58" s="396"/>
      <c r="B58" s="397"/>
      <c r="C58" s="407" t="s">
        <v>1065</v>
      </c>
      <c r="D58" s="407" t="s">
        <v>882</v>
      </c>
      <c r="E58" s="408" t="s">
        <v>1066</v>
      </c>
      <c r="F58" s="409" t="s">
        <v>1067</v>
      </c>
      <c r="G58" s="410" t="s">
        <v>1035</v>
      </c>
      <c r="H58" s="411">
        <v>2</v>
      </c>
      <c r="I58" s="675"/>
      <c r="J58" s="412">
        <f t="shared" si="10"/>
        <v>0</v>
      </c>
      <c r="K58" s="165" t="s">
        <v>885</v>
      </c>
      <c r="L58" s="149"/>
      <c r="M58" s="166"/>
      <c r="N58" s="167">
        <v>0.227</v>
      </c>
      <c r="O58" s="167">
        <f t="shared" si="11"/>
        <v>0.454</v>
      </c>
      <c r="P58" s="167">
        <v>0.00019</v>
      </c>
      <c r="Q58" s="167">
        <f t="shared" si="12"/>
        <v>0.00038</v>
      </c>
      <c r="R58" s="167">
        <v>0</v>
      </c>
      <c r="S58" s="168">
        <f t="shared" si="13"/>
        <v>0</v>
      </c>
      <c r="AQ58" s="169" t="s">
        <v>886</v>
      </c>
      <c r="AS58" s="169" t="s">
        <v>882</v>
      </c>
      <c r="AT58" s="169" t="s">
        <v>38</v>
      </c>
      <c r="AX58" s="154" t="s">
        <v>879</v>
      </c>
      <c r="BD58" s="170" t="e">
        <f>IF(#REF!="základní",J58,0)</f>
        <v>#REF!</v>
      </c>
      <c r="BE58" s="170" t="e">
        <f>IF(#REF!="snížená",J58,0)</f>
        <v>#REF!</v>
      </c>
      <c r="BF58" s="170" t="e">
        <f>IF(#REF!="zákl. přenesená",J58,0)</f>
        <v>#REF!</v>
      </c>
      <c r="BG58" s="170" t="e">
        <f>IF(#REF!="sníž. přenesená",J58,0)</f>
        <v>#REF!</v>
      </c>
      <c r="BH58" s="170" t="e">
        <f>IF(#REF!="nulová",J58,0)</f>
        <v>#REF!</v>
      </c>
      <c r="BI58" s="154" t="s">
        <v>37</v>
      </c>
      <c r="BJ58" s="170">
        <f t="shared" si="14"/>
        <v>0</v>
      </c>
      <c r="BK58" s="154" t="s">
        <v>886</v>
      </c>
      <c r="BL58" s="169" t="s">
        <v>1068</v>
      </c>
    </row>
    <row r="59" spans="1:64" s="148" customFormat="1" ht="16.5" customHeight="1">
      <c r="A59" s="396"/>
      <c r="B59" s="397"/>
      <c r="C59" s="407" t="s">
        <v>1069</v>
      </c>
      <c r="D59" s="407" t="s">
        <v>882</v>
      </c>
      <c r="E59" s="408" t="s">
        <v>1070</v>
      </c>
      <c r="F59" s="409" t="s">
        <v>1071</v>
      </c>
      <c r="G59" s="410" t="s">
        <v>1035</v>
      </c>
      <c r="H59" s="411">
        <v>2</v>
      </c>
      <c r="I59" s="675"/>
      <c r="J59" s="412">
        <f t="shared" si="10"/>
        <v>0</v>
      </c>
      <c r="K59" s="165" t="s">
        <v>885</v>
      </c>
      <c r="L59" s="149"/>
      <c r="M59" s="166"/>
      <c r="N59" s="167">
        <v>0.217</v>
      </c>
      <c r="O59" s="167">
        <f t="shared" si="11"/>
        <v>0.434</v>
      </c>
      <c r="P59" s="167">
        <v>0</v>
      </c>
      <c r="Q59" s="167">
        <f t="shared" si="12"/>
        <v>0</v>
      </c>
      <c r="R59" s="167">
        <v>0.00156</v>
      </c>
      <c r="S59" s="168">
        <f t="shared" si="13"/>
        <v>0.00312</v>
      </c>
      <c r="AQ59" s="169" t="s">
        <v>886</v>
      </c>
      <c r="AS59" s="169" t="s">
        <v>882</v>
      </c>
      <c r="AT59" s="169" t="s">
        <v>38</v>
      </c>
      <c r="AX59" s="154" t="s">
        <v>879</v>
      </c>
      <c r="BD59" s="170" t="e">
        <f>IF(#REF!="základní",J59,0)</f>
        <v>#REF!</v>
      </c>
      <c r="BE59" s="170" t="e">
        <f>IF(#REF!="snížená",J59,0)</f>
        <v>#REF!</v>
      </c>
      <c r="BF59" s="170" t="e">
        <f>IF(#REF!="zákl. přenesená",J59,0)</f>
        <v>#REF!</v>
      </c>
      <c r="BG59" s="170" t="e">
        <f>IF(#REF!="sníž. přenesená",J59,0)</f>
        <v>#REF!</v>
      </c>
      <c r="BH59" s="170" t="e">
        <f>IF(#REF!="nulová",J59,0)</f>
        <v>#REF!</v>
      </c>
      <c r="BI59" s="154" t="s">
        <v>37</v>
      </c>
      <c r="BJ59" s="170">
        <f t="shared" si="14"/>
        <v>0</v>
      </c>
      <c r="BK59" s="154" t="s">
        <v>886</v>
      </c>
      <c r="BL59" s="169" t="s">
        <v>1072</v>
      </c>
    </row>
    <row r="60" spans="1:64" s="148" customFormat="1" ht="24" customHeight="1">
      <c r="A60" s="396"/>
      <c r="B60" s="397"/>
      <c r="C60" s="407" t="s">
        <v>1073</v>
      </c>
      <c r="D60" s="407" t="s">
        <v>882</v>
      </c>
      <c r="E60" s="408" t="s">
        <v>1074</v>
      </c>
      <c r="F60" s="409" t="s">
        <v>1075</v>
      </c>
      <c r="G60" s="410" t="s">
        <v>1035</v>
      </c>
      <c r="H60" s="411">
        <v>1</v>
      </c>
      <c r="I60" s="675"/>
      <c r="J60" s="412">
        <f t="shared" si="10"/>
        <v>0</v>
      </c>
      <c r="K60" s="165" t="s">
        <v>885</v>
      </c>
      <c r="L60" s="149"/>
      <c r="M60" s="166"/>
      <c r="N60" s="167">
        <v>0.2</v>
      </c>
      <c r="O60" s="167">
        <f t="shared" si="11"/>
        <v>0.2</v>
      </c>
      <c r="P60" s="167">
        <v>0.00196</v>
      </c>
      <c r="Q60" s="167">
        <f t="shared" si="12"/>
        <v>0.00196</v>
      </c>
      <c r="R60" s="167">
        <v>0</v>
      </c>
      <c r="S60" s="168">
        <f t="shared" si="13"/>
        <v>0</v>
      </c>
      <c r="AQ60" s="169" t="s">
        <v>886</v>
      </c>
      <c r="AS60" s="169" t="s">
        <v>882</v>
      </c>
      <c r="AT60" s="169" t="s">
        <v>38</v>
      </c>
      <c r="AX60" s="154" t="s">
        <v>879</v>
      </c>
      <c r="BD60" s="170" t="e">
        <f>IF(#REF!="základní",J60,0)</f>
        <v>#REF!</v>
      </c>
      <c r="BE60" s="170" t="e">
        <f>IF(#REF!="snížená",J60,0)</f>
        <v>#REF!</v>
      </c>
      <c r="BF60" s="170" t="e">
        <f>IF(#REF!="zákl. přenesená",J60,0)</f>
        <v>#REF!</v>
      </c>
      <c r="BG60" s="170" t="e">
        <f>IF(#REF!="sníž. přenesená",J60,0)</f>
        <v>#REF!</v>
      </c>
      <c r="BH60" s="170" t="e">
        <f>IF(#REF!="nulová",J60,0)</f>
        <v>#REF!</v>
      </c>
      <c r="BI60" s="154" t="s">
        <v>37</v>
      </c>
      <c r="BJ60" s="170">
        <f t="shared" si="14"/>
        <v>0</v>
      </c>
      <c r="BK60" s="154" t="s">
        <v>886</v>
      </c>
      <c r="BL60" s="169" t="s">
        <v>1076</v>
      </c>
    </row>
    <row r="61" spans="1:64" s="148" customFormat="1" ht="16.5" customHeight="1">
      <c r="A61" s="396"/>
      <c r="B61" s="397"/>
      <c r="C61" s="407" t="s">
        <v>1077</v>
      </c>
      <c r="D61" s="407" t="s">
        <v>882</v>
      </c>
      <c r="E61" s="408" t="s">
        <v>1078</v>
      </c>
      <c r="F61" s="409" t="s">
        <v>1079</v>
      </c>
      <c r="G61" s="410" t="s">
        <v>1035</v>
      </c>
      <c r="H61" s="411">
        <v>1</v>
      </c>
      <c r="I61" s="675"/>
      <c r="J61" s="412">
        <f t="shared" si="10"/>
        <v>0</v>
      </c>
      <c r="K61" s="165" t="s">
        <v>885</v>
      </c>
      <c r="L61" s="149"/>
      <c r="M61" s="166"/>
      <c r="N61" s="167">
        <v>0.2</v>
      </c>
      <c r="O61" s="167">
        <f t="shared" si="11"/>
        <v>0.2</v>
      </c>
      <c r="P61" s="167">
        <v>0.00184</v>
      </c>
      <c r="Q61" s="167">
        <f t="shared" si="12"/>
        <v>0.00184</v>
      </c>
      <c r="R61" s="167">
        <v>0</v>
      </c>
      <c r="S61" s="168">
        <f t="shared" si="13"/>
        <v>0</v>
      </c>
      <c r="AQ61" s="169" t="s">
        <v>886</v>
      </c>
      <c r="AS61" s="169" t="s">
        <v>882</v>
      </c>
      <c r="AT61" s="169" t="s">
        <v>38</v>
      </c>
      <c r="AX61" s="154" t="s">
        <v>879</v>
      </c>
      <c r="BD61" s="170" t="e">
        <f>IF(#REF!="základní",J61,0)</f>
        <v>#REF!</v>
      </c>
      <c r="BE61" s="170" t="e">
        <f>IF(#REF!="snížená",J61,0)</f>
        <v>#REF!</v>
      </c>
      <c r="BF61" s="170" t="e">
        <f>IF(#REF!="zákl. přenesená",J61,0)</f>
        <v>#REF!</v>
      </c>
      <c r="BG61" s="170" t="e">
        <f>IF(#REF!="sníž. přenesená",J61,0)</f>
        <v>#REF!</v>
      </c>
      <c r="BH61" s="170" t="e">
        <f>IF(#REF!="nulová",J61,0)</f>
        <v>#REF!</v>
      </c>
      <c r="BI61" s="154" t="s">
        <v>37</v>
      </c>
      <c r="BJ61" s="170">
        <f t="shared" si="14"/>
        <v>0</v>
      </c>
      <c r="BK61" s="154" t="s">
        <v>886</v>
      </c>
      <c r="BL61" s="169" t="s">
        <v>1080</v>
      </c>
    </row>
    <row r="62" spans="1:64" s="148" customFormat="1" ht="16.5" customHeight="1">
      <c r="A62" s="396"/>
      <c r="B62" s="397"/>
      <c r="C62" s="407" t="s">
        <v>1081</v>
      </c>
      <c r="D62" s="407" t="s">
        <v>882</v>
      </c>
      <c r="E62" s="408" t="s">
        <v>1082</v>
      </c>
      <c r="F62" s="409" t="s">
        <v>1083</v>
      </c>
      <c r="G62" s="410" t="s">
        <v>25</v>
      </c>
      <c r="H62" s="411">
        <v>2</v>
      </c>
      <c r="I62" s="675"/>
      <c r="J62" s="412">
        <f t="shared" si="10"/>
        <v>0</v>
      </c>
      <c r="K62" s="165" t="s">
        <v>885</v>
      </c>
      <c r="L62" s="149"/>
      <c r="M62" s="166"/>
      <c r="N62" s="167">
        <v>0.038</v>
      </c>
      <c r="O62" s="167">
        <f t="shared" si="11"/>
        <v>0.076</v>
      </c>
      <c r="P62" s="167">
        <v>0</v>
      </c>
      <c r="Q62" s="167">
        <f t="shared" si="12"/>
        <v>0</v>
      </c>
      <c r="R62" s="167">
        <v>0.00085</v>
      </c>
      <c r="S62" s="168">
        <f t="shared" si="13"/>
        <v>0.0017</v>
      </c>
      <c r="AQ62" s="169" t="s">
        <v>886</v>
      </c>
      <c r="AS62" s="169" t="s">
        <v>882</v>
      </c>
      <c r="AT62" s="169" t="s">
        <v>38</v>
      </c>
      <c r="AX62" s="154" t="s">
        <v>879</v>
      </c>
      <c r="BD62" s="170" t="e">
        <f>IF(#REF!="základní",J62,0)</f>
        <v>#REF!</v>
      </c>
      <c r="BE62" s="170" t="e">
        <f>IF(#REF!="snížená",J62,0)</f>
        <v>#REF!</v>
      </c>
      <c r="BF62" s="170" t="e">
        <f>IF(#REF!="zákl. přenesená",J62,0)</f>
        <v>#REF!</v>
      </c>
      <c r="BG62" s="170" t="e">
        <f>IF(#REF!="sníž. přenesená",J62,0)</f>
        <v>#REF!</v>
      </c>
      <c r="BH62" s="170" t="e">
        <f>IF(#REF!="nulová",J62,0)</f>
        <v>#REF!</v>
      </c>
      <c r="BI62" s="154" t="s">
        <v>37</v>
      </c>
      <c r="BJ62" s="170">
        <f t="shared" si="14"/>
        <v>0</v>
      </c>
      <c r="BK62" s="154" t="s">
        <v>886</v>
      </c>
      <c r="BL62" s="169" t="s">
        <v>1084</v>
      </c>
    </row>
    <row r="63" spans="1:64" s="148" customFormat="1" ht="16.5" customHeight="1">
      <c r="A63" s="396"/>
      <c r="B63" s="397"/>
      <c r="C63" s="407" t="s">
        <v>1085</v>
      </c>
      <c r="D63" s="407" t="s">
        <v>882</v>
      </c>
      <c r="E63" s="408" t="s">
        <v>1086</v>
      </c>
      <c r="F63" s="409" t="s">
        <v>1087</v>
      </c>
      <c r="G63" s="410" t="s">
        <v>25</v>
      </c>
      <c r="H63" s="411">
        <v>1</v>
      </c>
      <c r="I63" s="675"/>
      <c r="J63" s="412">
        <f t="shared" si="10"/>
        <v>0</v>
      </c>
      <c r="K63" s="165" t="s">
        <v>885</v>
      </c>
      <c r="L63" s="149"/>
      <c r="M63" s="166"/>
      <c r="N63" s="167">
        <v>0.113</v>
      </c>
      <c r="O63" s="167">
        <f t="shared" si="11"/>
        <v>0.113</v>
      </c>
      <c r="P63" s="167">
        <v>0.00023</v>
      </c>
      <c r="Q63" s="167">
        <f t="shared" si="12"/>
        <v>0.00023</v>
      </c>
      <c r="R63" s="167">
        <v>0</v>
      </c>
      <c r="S63" s="168">
        <f t="shared" si="13"/>
        <v>0</v>
      </c>
      <c r="AQ63" s="169" t="s">
        <v>886</v>
      </c>
      <c r="AS63" s="169" t="s">
        <v>882</v>
      </c>
      <c r="AT63" s="169" t="s">
        <v>38</v>
      </c>
      <c r="AX63" s="154" t="s">
        <v>879</v>
      </c>
      <c r="BD63" s="170" t="e">
        <f>IF(#REF!="základní",J63,0)</f>
        <v>#REF!</v>
      </c>
      <c r="BE63" s="170" t="e">
        <f>IF(#REF!="snížená",J63,0)</f>
        <v>#REF!</v>
      </c>
      <c r="BF63" s="170" t="e">
        <f>IF(#REF!="zákl. přenesená",J63,0)</f>
        <v>#REF!</v>
      </c>
      <c r="BG63" s="170" t="e">
        <f>IF(#REF!="sníž. přenesená",J63,0)</f>
        <v>#REF!</v>
      </c>
      <c r="BH63" s="170" t="e">
        <f>IF(#REF!="nulová",J63,0)</f>
        <v>#REF!</v>
      </c>
      <c r="BI63" s="154" t="s">
        <v>37</v>
      </c>
      <c r="BJ63" s="170">
        <f t="shared" si="14"/>
        <v>0</v>
      </c>
      <c r="BK63" s="154" t="s">
        <v>886</v>
      </c>
      <c r="BL63" s="169" t="s">
        <v>1088</v>
      </c>
    </row>
    <row r="64" spans="1:64" s="148" customFormat="1" ht="16.5" customHeight="1">
      <c r="A64" s="396"/>
      <c r="B64" s="397"/>
      <c r="C64" s="407" t="s">
        <v>1089</v>
      </c>
      <c r="D64" s="407" t="s">
        <v>882</v>
      </c>
      <c r="E64" s="408" t="s">
        <v>1090</v>
      </c>
      <c r="F64" s="409" t="s">
        <v>1091</v>
      </c>
      <c r="G64" s="410" t="s">
        <v>25</v>
      </c>
      <c r="H64" s="411">
        <v>1</v>
      </c>
      <c r="I64" s="675"/>
      <c r="J64" s="412">
        <f t="shared" si="10"/>
        <v>0</v>
      </c>
      <c r="K64" s="165" t="s">
        <v>885</v>
      </c>
      <c r="L64" s="149"/>
      <c r="M64" s="166"/>
      <c r="N64" s="167">
        <v>0.113</v>
      </c>
      <c r="O64" s="167">
        <f t="shared" si="11"/>
        <v>0.113</v>
      </c>
      <c r="P64" s="167">
        <v>0.00028</v>
      </c>
      <c r="Q64" s="167">
        <f t="shared" si="12"/>
        <v>0.00028</v>
      </c>
      <c r="R64" s="167">
        <v>0</v>
      </c>
      <c r="S64" s="168">
        <f t="shared" si="13"/>
        <v>0</v>
      </c>
      <c r="AQ64" s="169" t="s">
        <v>886</v>
      </c>
      <c r="AS64" s="169" t="s">
        <v>882</v>
      </c>
      <c r="AT64" s="169" t="s">
        <v>38</v>
      </c>
      <c r="AX64" s="154" t="s">
        <v>879</v>
      </c>
      <c r="BD64" s="170" t="e">
        <f>IF(#REF!="základní",J64,0)</f>
        <v>#REF!</v>
      </c>
      <c r="BE64" s="170" t="e">
        <f>IF(#REF!="snížená",J64,0)</f>
        <v>#REF!</v>
      </c>
      <c r="BF64" s="170" t="e">
        <f>IF(#REF!="zákl. přenesená",J64,0)</f>
        <v>#REF!</v>
      </c>
      <c r="BG64" s="170" t="e">
        <f>IF(#REF!="sníž. přenesená",J64,0)</f>
        <v>#REF!</v>
      </c>
      <c r="BH64" s="170" t="e">
        <f>IF(#REF!="nulová",J64,0)</f>
        <v>#REF!</v>
      </c>
      <c r="BI64" s="154" t="s">
        <v>37</v>
      </c>
      <c r="BJ64" s="170">
        <f t="shared" si="14"/>
        <v>0</v>
      </c>
      <c r="BK64" s="154" t="s">
        <v>886</v>
      </c>
      <c r="BL64" s="169" t="s">
        <v>1092</v>
      </c>
    </row>
    <row r="65" spans="1:64" s="148" customFormat="1" ht="24" customHeight="1">
      <c r="A65" s="396"/>
      <c r="B65" s="397"/>
      <c r="C65" s="407" t="s">
        <v>1093</v>
      </c>
      <c r="D65" s="407" t="s">
        <v>882</v>
      </c>
      <c r="E65" s="408" t="s">
        <v>1094</v>
      </c>
      <c r="F65" s="409" t="s">
        <v>1095</v>
      </c>
      <c r="G65" s="410" t="s">
        <v>10</v>
      </c>
      <c r="H65" s="411">
        <v>190.952</v>
      </c>
      <c r="I65" s="675"/>
      <c r="J65" s="412">
        <f t="shared" si="10"/>
        <v>0</v>
      </c>
      <c r="K65" s="165" t="s">
        <v>885</v>
      </c>
      <c r="L65" s="149"/>
      <c r="M65" s="166"/>
      <c r="N65" s="167">
        <v>0</v>
      </c>
      <c r="O65" s="167">
        <f t="shared" si="11"/>
        <v>0</v>
      </c>
      <c r="P65" s="167">
        <v>0</v>
      </c>
      <c r="Q65" s="167">
        <f t="shared" si="12"/>
        <v>0</v>
      </c>
      <c r="R65" s="167">
        <v>0</v>
      </c>
      <c r="S65" s="168">
        <f t="shared" si="13"/>
        <v>0</v>
      </c>
      <c r="AQ65" s="169" t="s">
        <v>886</v>
      </c>
      <c r="AS65" s="169" t="s">
        <v>882</v>
      </c>
      <c r="AT65" s="169" t="s">
        <v>38</v>
      </c>
      <c r="AX65" s="154" t="s">
        <v>879</v>
      </c>
      <c r="BD65" s="170" t="e">
        <f>IF(#REF!="základní",J65,0)</f>
        <v>#REF!</v>
      </c>
      <c r="BE65" s="170" t="e">
        <f>IF(#REF!="snížená",J65,0)</f>
        <v>#REF!</v>
      </c>
      <c r="BF65" s="170" t="e">
        <f>IF(#REF!="zákl. přenesená",J65,0)</f>
        <v>#REF!</v>
      </c>
      <c r="BG65" s="170" t="e">
        <f>IF(#REF!="sníž. přenesená",J65,0)</f>
        <v>#REF!</v>
      </c>
      <c r="BH65" s="170" t="e">
        <f>IF(#REF!="nulová",J65,0)</f>
        <v>#REF!</v>
      </c>
      <c r="BI65" s="154" t="s">
        <v>37</v>
      </c>
      <c r="BJ65" s="170">
        <f t="shared" si="14"/>
        <v>0</v>
      </c>
      <c r="BK65" s="154" t="s">
        <v>886</v>
      </c>
      <c r="BL65" s="169" t="s">
        <v>1096</v>
      </c>
    </row>
    <row r="66" spans="1:62" s="156" customFormat="1" ht="22.95" customHeight="1">
      <c r="A66" s="400"/>
      <c r="B66" s="401"/>
      <c r="C66" s="400"/>
      <c r="D66" s="402" t="s">
        <v>876</v>
      </c>
      <c r="E66" s="405" t="s">
        <v>1097</v>
      </c>
      <c r="F66" s="405" t="s">
        <v>1098</v>
      </c>
      <c r="G66" s="400"/>
      <c r="H66" s="400"/>
      <c r="I66" s="676"/>
      <c r="J66" s="406">
        <f>BJ66</f>
        <v>0</v>
      </c>
      <c r="L66" s="157"/>
      <c r="M66" s="159"/>
      <c r="N66" s="160"/>
      <c r="O66" s="161">
        <f>SUM(O67:O70)</f>
        <v>3.1</v>
      </c>
      <c r="P66" s="160"/>
      <c r="Q66" s="161">
        <f>SUM(Q67:Q70)</f>
        <v>0.009850000000000001</v>
      </c>
      <c r="R66" s="160"/>
      <c r="S66" s="162">
        <f>SUM(S67:S70)</f>
        <v>0</v>
      </c>
      <c r="AQ66" s="158" t="s">
        <v>38</v>
      </c>
      <c r="AS66" s="163" t="s">
        <v>876</v>
      </c>
      <c r="AT66" s="163" t="s">
        <v>37</v>
      </c>
      <c r="AX66" s="158" t="s">
        <v>879</v>
      </c>
      <c r="BJ66" s="164">
        <f>SUM(BJ67:BJ70)</f>
        <v>0</v>
      </c>
    </row>
    <row r="67" spans="1:64" s="148" customFormat="1" ht="24" customHeight="1">
      <c r="A67" s="396"/>
      <c r="B67" s="397"/>
      <c r="C67" s="407" t="s">
        <v>1099</v>
      </c>
      <c r="D67" s="407" t="s">
        <v>882</v>
      </c>
      <c r="E67" s="408" t="s">
        <v>1100</v>
      </c>
      <c r="F67" s="409" t="s">
        <v>1101</v>
      </c>
      <c r="G67" s="410" t="s">
        <v>1035</v>
      </c>
      <c r="H67" s="411">
        <v>1</v>
      </c>
      <c r="I67" s="675"/>
      <c r="J67" s="412">
        <f>ROUND(I67*H67,2)</f>
        <v>0</v>
      </c>
      <c r="K67" s="165" t="s">
        <v>885</v>
      </c>
      <c r="L67" s="149"/>
      <c r="M67" s="166"/>
      <c r="N67" s="167">
        <v>2.5</v>
      </c>
      <c r="O67" s="167">
        <f>N67*H67</f>
        <v>2.5</v>
      </c>
      <c r="P67" s="167">
        <v>0.0092</v>
      </c>
      <c r="Q67" s="167">
        <f>P67*H67</f>
        <v>0.0092</v>
      </c>
      <c r="R67" s="167">
        <v>0</v>
      </c>
      <c r="S67" s="168">
        <f>R67*H67</f>
        <v>0</v>
      </c>
      <c r="AQ67" s="169" t="s">
        <v>886</v>
      </c>
      <c r="AS67" s="169" t="s">
        <v>882</v>
      </c>
      <c r="AT67" s="169" t="s">
        <v>38</v>
      </c>
      <c r="AX67" s="154" t="s">
        <v>879</v>
      </c>
      <c r="BD67" s="170" t="e">
        <f>IF(#REF!="základní",J67,0)</f>
        <v>#REF!</v>
      </c>
      <c r="BE67" s="170" t="e">
        <f>IF(#REF!="snížená",J67,0)</f>
        <v>#REF!</v>
      </c>
      <c r="BF67" s="170" t="e">
        <f>IF(#REF!="zákl. přenesená",J67,0)</f>
        <v>#REF!</v>
      </c>
      <c r="BG67" s="170" t="e">
        <f>IF(#REF!="sníž. přenesená",J67,0)</f>
        <v>#REF!</v>
      </c>
      <c r="BH67" s="170" t="e">
        <f>IF(#REF!="nulová",J67,0)</f>
        <v>#REF!</v>
      </c>
      <c r="BI67" s="154" t="s">
        <v>37</v>
      </c>
      <c r="BJ67" s="170">
        <f>ROUND(I67*H67,2)</f>
        <v>0</v>
      </c>
      <c r="BK67" s="154" t="s">
        <v>886</v>
      </c>
      <c r="BL67" s="169" t="s">
        <v>1102</v>
      </c>
    </row>
    <row r="68" spans="1:64" s="148" customFormat="1" ht="16.5" customHeight="1">
      <c r="A68" s="396"/>
      <c r="B68" s="397"/>
      <c r="C68" s="407" t="s">
        <v>1103</v>
      </c>
      <c r="D68" s="407" t="s">
        <v>882</v>
      </c>
      <c r="E68" s="408" t="s">
        <v>1104</v>
      </c>
      <c r="F68" s="409" t="s">
        <v>1105</v>
      </c>
      <c r="G68" s="410" t="s">
        <v>1035</v>
      </c>
      <c r="H68" s="411">
        <v>1</v>
      </c>
      <c r="I68" s="675"/>
      <c r="J68" s="412">
        <f>ROUND(I68*H68,2)</f>
        <v>0</v>
      </c>
      <c r="K68" s="165" t="s">
        <v>885</v>
      </c>
      <c r="L68" s="149"/>
      <c r="M68" s="166"/>
      <c r="N68" s="167">
        <v>0.1</v>
      </c>
      <c r="O68" s="167">
        <f>N68*H68</f>
        <v>0.1</v>
      </c>
      <c r="P68" s="167">
        <v>0.00015</v>
      </c>
      <c r="Q68" s="167">
        <f>P68*H68</f>
        <v>0.00015</v>
      </c>
      <c r="R68" s="167">
        <v>0</v>
      </c>
      <c r="S68" s="168">
        <f>R68*H68</f>
        <v>0</v>
      </c>
      <c r="AQ68" s="169" t="s">
        <v>886</v>
      </c>
      <c r="AS68" s="169" t="s">
        <v>882</v>
      </c>
      <c r="AT68" s="169" t="s">
        <v>38</v>
      </c>
      <c r="AX68" s="154" t="s">
        <v>879</v>
      </c>
      <c r="BD68" s="170" t="e">
        <f>IF(#REF!="základní",J68,0)</f>
        <v>#REF!</v>
      </c>
      <c r="BE68" s="170" t="e">
        <f>IF(#REF!="snížená",J68,0)</f>
        <v>#REF!</v>
      </c>
      <c r="BF68" s="170" t="e">
        <f>IF(#REF!="zákl. přenesená",J68,0)</f>
        <v>#REF!</v>
      </c>
      <c r="BG68" s="170" t="e">
        <f>IF(#REF!="sníž. přenesená",J68,0)</f>
        <v>#REF!</v>
      </c>
      <c r="BH68" s="170" t="e">
        <f>IF(#REF!="nulová",J68,0)</f>
        <v>#REF!</v>
      </c>
      <c r="BI68" s="154" t="s">
        <v>37</v>
      </c>
      <c r="BJ68" s="170">
        <f>ROUND(I68*H68,2)</f>
        <v>0</v>
      </c>
      <c r="BK68" s="154" t="s">
        <v>886</v>
      </c>
      <c r="BL68" s="169" t="s">
        <v>1106</v>
      </c>
    </row>
    <row r="69" spans="1:64" s="148" customFormat="1" ht="16.5" customHeight="1">
      <c r="A69" s="396"/>
      <c r="B69" s="397"/>
      <c r="C69" s="407" t="s">
        <v>1107</v>
      </c>
      <c r="D69" s="407" t="s">
        <v>882</v>
      </c>
      <c r="E69" s="408" t="s">
        <v>1108</v>
      </c>
      <c r="F69" s="409" t="s">
        <v>1109</v>
      </c>
      <c r="G69" s="410" t="s">
        <v>1035</v>
      </c>
      <c r="H69" s="411">
        <v>1</v>
      </c>
      <c r="I69" s="675"/>
      <c r="J69" s="412">
        <f>ROUND(I69*H69,2)</f>
        <v>0</v>
      </c>
      <c r="K69" s="165" t="s">
        <v>885</v>
      </c>
      <c r="L69" s="149"/>
      <c r="M69" s="166"/>
      <c r="N69" s="167">
        <v>0.5</v>
      </c>
      <c r="O69" s="167">
        <f>N69*H69</f>
        <v>0.5</v>
      </c>
      <c r="P69" s="167">
        <v>0.0005</v>
      </c>
      <c r="Q69" s="167">
        <f>P69*H69</f>
        <v>0.0005</v>
      </c>
      <c r="R69" s="167">
        <v>0</v>
      </c>
      <c r="S69" s="168">
        <f>R69*H69</f>
        <v>0</v>
      </c>
      <c r="AQ69" s="169" t="s">
        <v>886</v>
      </c>
      <c r="AS69" s="169" t="s">
        <v>882</v>
      </c>
      <c r="AT69" s="169" t="s">
        <v>38</v>
      </c>
      <c r="AX69" s="154" t="s">
        <v>879</v>
      </c>
      <c r="BD69" s="170" t="e">
        <f>IF(#REF!="základní",J69,0)</f>
        <v>#REF!</v>
      </c>
      <c r="BE69" s="170" t="e">
        <f>IF(#REF!="snížená",J69,0)</f>
        <v>#REF!</v>
      </c>
      <c r="BF69" s="170" t="e">
        <f>IF(#REF!="zákl. přenesená",J69,0)</f>
        <v>#REF!</v>
      </c>
      <c r="BG69" s="170" t="e">
        <f>IF(#REF!="sníž. přenesená",J69,0)</f>
        <v>#REF!</v>
      </c>
      <c r="BH69" s="170" t="e">
        <f>IF(#REF!="nulová",J69,0)</f>
        <v>#REF!</v>
      </c>
      <c r="BI69" s="154" t="s">
        <v>37</v>
      </c>
      <c r="BJ69" s="170">
        <f>ROUND(I69*H69,2)</f>
        <v>0</v>
      </c>
      <c r="BK69" s="154" t="s">
        <v>886</v>
      </c>
      <c r="BL69" s="169" t="s">
        <v>1110</v>
      </c>
    </row>
    <row r="70" spans="1:64" s="148" customFormat="1" ht="24" customHeight="1">
      <c r="A70" s="396"/>
      <c r="B70" s="397"/>
      <c r="C70" s="407" t="s">
        <v>1111</v>
      </c>
      <c r="D70" s="407" t="s">
        <v>882</v>
      </c>
      <c r="E70" s="408" t="s">
        <v>1112</v>
      </c>
      <c r="F70" s="409" t="s">
        <v>1113</v>
      </c>
      <c r="G70" s="410" t="s">
        <v>10</v>
      </c>
      <c r="H70" s="411">
        <v>96.44</v>
      </c>
      <c r="I70" s="675"/>
      <c r="J70" s="412">
        <f>ROUND(I70*H70,2)</f>
        <v>0</v>
      </c>
      <c r="K70" s="165" t="s">
        <v>885</v>
      </c>
      <c r="L70" s="149"/>
      <c r="M70" s="171"/>
      <c r="N70" s="172">
        <v>0</v>
      </c>
      <c r="O70" s="172">
        <f>N70*H70</f>
        <v>0</v>
      </c>
      <c r="P70" s="172">
        <v>0</v>
      </c>
      <c r="Q70" s="172">
        <f>P70*H70</f>
        <v>0</v>
      </c>
      <c r="R70" s="172">
        <v>0</v>
      </c>
      <c r="S70" s="173">
        <f>R70*H70</f>
        <v>0</v>
      </c>
      <c r="AQ70" s="169" t="s">
        <v>886</v>
      </c>
      <c r="AS70" s="169" t="s">
        <v>882</v>
      </c>
      <c r="AT70" s="169" t="s">
        <v>38</v>
      </c>
      <c r="AX70" s="154" t="s">
        <v>879</v>
      </c>
      <c r="BD70" s="170" t="e">
        <f>IF(#REF!="základní",J70,0)</f>
        <v>#REF!</v>
      </c>
      <c r="BE70" s="170" t="e">
        <f>IF(#REF!="snížená",J70,0)</f>
        <v>#REF!</v>
      </c>
      <c r="BF70" s="170" t="e">
        <f>IF(#REF!="zákl. přenesená",J70,0)</f>
        <v>#REF!</v>
      </c>
      <c r="BG70" s="170" t="e">
        <f>IF(#REF!="sníž. přenesená",J70,0)</f>
        <v>#REF!</v>
      </c>
      <c r="BH70" s="170" t="e">
        <f>IF(#REF!="nulová",J70,0)</f>
        <v>#REF!</v>
      </c>
      <c r="BI70" s="154" t="s">
        <v>37</v>
      </c>
      <c r="BJ70" s="170">
        <f>ROUND(I70*H70,2)</f>
        <v>0</v>
      </c>
      <c r="BK70" s="154" t="s">
        <v>886</v>
      </c>
      <c r="BL70" s="169" t="s">
        <v>1114</v>
      </c>
    </row>
    <row r="71" spans="1:12" s="148" customFormat="1" ht="6.9" customHeight="1">
      <c r="A71" s="396"/>
      <c r="B71" s="413"/>
      <c r="C71" s="414"/>
      <c r="D71" s="414"/>
      <c r="E71" s="414"/>
      <c r="F71" s="414"/>
      <c r="G71" s="414"/>
      <c r="H71" s="414"/>
      <c r="I71" s="414"/>
      <c r="J71" s="414"/>
      <c r="K71" s="174"/>
      <c r="L71" s="149"/>
    </row>
    <row r="72" spans="1:10" ht="15">
      <c r="A72" s="390"/>
      <c r="B72" s="390"/>
      <c r="C72" s="390"/>
      <c r="D72" s="390"/>
      <c r="E72" s="390"/>
      <c r="F72" s="390"/>
      <c r="G72" s="390"/>
      <c r="H72" s="390"/>
      <c r="I72" s="390"/>
      <c r="J72" s="390"/>
    </row>
    <row r="73" spans="1:10" ht="15">
      <c r="A73" s="390"/>
      <c r="B73" s="390"/>
      <c r="C73" s="390"/>
      <c r="D73" s="390"/>
      <c r="E73" s="390"/>
      <c r="F73" s="390"/>
      <c r="G73" s="390"/>
      <c r="H73" s="390"/>
      <c r="I73" s="390"/>
      <c r="J73" s="390"/>
    </row>
  </sheetData>
  <sheetProtection sheet="1" objects="1" scenarios="1"/>
  <autoFilter ref="C6:K70"/>
  <printOptions/>
  <pageMargins left="0.39375" right="0.39375" top="0.39375" bottom="0.39375" header="0.511805555555555" footer="0"/>
  <pageSetup fitToHeight="99" fitToWidth="1" horizontalDpi="300" verticalDpi="300" orientation="portrait" paperSize="9" scale="76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1"/>
  <sheetViews>
    <sheetView showGridLines="0" workbookViewId="0" topLeftCell="A1">
      <selection activeCell="I10" sqref="I10"/>
    </sheetView>
  </sheetViews>
  <sheetFormatPr defaultColWidth="9.140625" defaultRowHeight="15"/>
  <cols>
    <col min="1" max="1" width="7.140625" style="141" customWidth="1"/>
    <col min="2" max="2" width="1.421875" style="141" customWidth="1"/>
    <col min="3" max="3" width="3.57421875" style="141" customWidth="1"/>
    <col min="4" max="4" width="3.7109375" style="141" customWidth="1"/>
    <col min="5" max="5" width="14.7109375" style="141" customWidth="1"/>
    <col min="6" max="6" width="43.57421875" style="141" customWidth="1"/>
    <col min="7" max="7" width="8.140625" style="141" customWidth="1"/>
    <col min="8" max="8" width="9.8515625" style="141" customWidth="1"/>
    <col min="9" max="9" width="17.28125" style="141" customWidth="1"/>
    <col min="10" max="10" width="15.421875" style="141" customWidth="1"/>
    <col min="11" max="11" width="17.28125" style="141" hidden="1" customWidth="1"/>
    <col min="12" max="12" width="8.00390625" style="141" customWidth="1"/>
    <col min="13" max="13" width="9.28125" style="141" hidden="1" customWidth="1"/>
    <col min="14" max="19" width="12.140625" style="141" hidden="1" customWidth="1"/>
    <col min="20" max="20" width="14.00390625" style="141" hidden="1" customWidth="1"/>
    <col min="21" max="21" width="10.57421875" style="141" customWidth="1"/>
    <col min="22" max="22" width="14.00390625" style="141" customWidth="1"/>
    <col min="23" max="23" width="10.57421875" style="141" customWidth="1"/>
    <col min="24" max="24" width="12.8515625" style="141" customWidth="1"/>
    <col min="25" max="25" width="9.421875" style="141" customWidth="1"/>
    <col min="26" max="26" width="12.8515625" style="141" customWidth="1"/>
    <col min="27" max="27" width="14.00390625" style="141" customWidth="1"/>
    <col min="28" max="28" width="9.421875" style="141" customWidth="1"/>
    <col min="29" max="29" width="12.8515625" style="141" customWidth="1"/>
    <col min="30" max="30" width="14.00390625" style="141" customWidth="1"/>
    <col min="31" max="1024" width="9.140625" style="141" customWidth="1"/>
    <col min="1025" max="16384" width="9.140625" style="83" customWidth="1"/>
  </cols>
  <sheetData>
    <row r="1" spans="1:1024" ht="20.25">
      <c r="A1" s="74" t="s">
        <v>1453</v>
      </c>
      <c r="B1" s="75"/>
      <c r="C1" s="75"/>
      <c r="D1" s="75"/>
      <c r="E1" s="75"/>
      <c r="F1" s="75"/>
      <c r="G1" s="85"/>
      <c r="H1" s="75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  <c r="IW1" s="83"/>
      <c r="IX1" s="83"/>
      <c r="IY1" s="83"/>
      <c r="IZ1" s="83"/>
      <c r="JA1" s="83"/>
      <c r="JB1" s="83"/>
      <c r="JC1" s="83"/>
      <c r="JD1" s="83"/>
      <c r="JE1" s="83"/>
      <c r="JF1" s="83"/>
      <c r="JG1" s="83"/>
      <c r="JH1" s="83"/>
      <c r="JI1" s="83"/>
      <c r="JJ1" s="83"/>
      <c r="JK1" s="83"/>
      <c r="JL1" s="83"/>
      <c r="JM1" s="83"/>
      <c r="JN1" s="83"/>
      <c r="JO1" s="83"/>
      <c r="JP1" s="83"/>
      <c r="JQ1" s="83"/>
      <c r="JR1" s="83"/>
      <c r="JS1" s="83"/>
      <c r="JT1" s="83"/>
      <c r="JU1" s="83"/>
      <c r="JV1" s="83"/>
      <c r="JW1" s="83"/>
      <c r="JX1" s="83"/>
      <c r="JY1" s="83"/>
      <c r="JZ1" s="83"/>
      <c r="KA1" s="83"/>
      <c r="KB1" s="83"/>
      <c r="KC1" s="83"/>
      <c r="KD1" s="83"/>
      <c r="KE1" s="83"/>
      <c r="KF1" s="83"/>
      <c r="KG1" s="83"/>
      <c r="KH1" s="83"/>
      <c r="KI1" s="83"/>
      <c r="KJ1" s="83"/>
      <c r="KK1" s="83"/>
      <c r="KL1" s="83"/>
      <c r="KM1" s="83"/>
      <c r="KN1" s="83"/>
      <c r="KO1" s="83"/>
      <c r="KP1" s="83"/>
      <c r="KQ1" s="83"/>
      <c r="KR1" s="83"/>
      <c r="KS1" s="83"/>
      <c r="KT1" s="83"/>
      <c r="KU1" s="83"/>
      <c r="KV1" s="83"/>
      <c r="KW1" s="83"/>
      <c r="KX1" s="83"/>
      <c r="KY1" s="83"/>
      <c r="KZ1" s="83"/>
      <c r="LA1" s="83"/>
      <c r="LB1" s="83"/>
      <c r="LC1" s="83"/>
      <c r="LD1" s="83"/>
      <c r="LE1" s="83"/>
      <c r="LF1" s="83"/>
      <c r="LG1" s="83"/>
      <c r="LH1" s="83"/>
      <c r="LI1" s="83"/>
      <c r="LJ1" s="83"/>
      <c r="LK1" s="83"/>
      <c r="LL1" s="83"/>
      <c r="LM1" s="83"/>
      <c r="LN1" s="83"/>
      <c r="LO1" s="83"/>
      <c r="LP1" s="83"/>
      <c r="LQ1" s="83"/>
      <c r="LR1" s="83"/>
      <c r="LS1" s="83"/>
      <c r="LT1" s="83"/>
      <c r="LU1" s="83"/>
      <c r="LV1" s="83"/>
      <c r="LW1" s="83"/>
      <c r="LX1" s="83"/>
      <c r="LY1" s="83"/>
      <c r="LZ1" s="83"/>
      <c r="MA1" s="83"/>
      <c r="MB1" s="83"/>
      <c r="MC1" s="83"/>
      <c r="MD1" s="83"/>
      <c r="ME1" s="83"/>
      <c r="MF1" s="83"/>
      <c r="MG1" s="83"/>
      <c r="MH1" s="83"/>
      <c r="MI1" s="83"/>
      <c r="MJ1" s="83"/>
      <c r="MK1" s="83"/>
      <c r="ML1" s="83"/>
      <c r="MM1" s="83"/>
      <c r="MN1" s="83"/>
      <c r="MO1" s="83"/>
      <c r="MP1" s="83"/>
      <c r="MQ1" s="83"/>
      <c r="MR1" s="83"/>
      <c r="MS1" s="83"/>
      <c r="MT1" s="83"/>
      <c r="MU1" s="83"/>
      <c r="MV1" s="83"/>
      <c r="MW1" s="83"/>
      <c r="MX1" s="83"/>
      <c r="MY1" s="83"/>
      <c r="MZ1" s="83"/>
      <c r="NA1" s="83"/>
      <c r="NB1" s="83"/>
      <c r="NC1" s="83"/>
      <c r="ND1" s="83"/>
      <c r="NE1" s="83"/>
      <c r="NF1" s="83"/>
      <c r="NG1" s="83"/>
      <c r="NH1" s="83"/>
      <c r="NI1" s="83"/>
      <c r="NJ1" s="83"/>
      <c r="NK1" s="83"/>
      <c r="NL1" s="83"/>
      <c r="NM1" s="83"/>
      <c r="NN1" s="83"/>
      <c r="NO1" s="83"/>
      <c r="NP1" s="83"/>
      <c r="NQ1" s="83"/>
      <c r="NR1" s="83"/>
      <c r="NS1" s="83"/>
      <c r="NT1" s="83"/>
      <c r="NU1" s="83"/>
      <c r="NV1" s="83"/>
      <c r="NW1" s="83"/>
      <c r="NX1" s="83"/>
      <c r="NY1" s="83"/>
      <c r="NZ1" s="83"/>
      <c r="OA1" s="83"/>
      <c r="OB1" s="83"/>
      <c r="OC1" s="83"/>
      <c r="OD1" s="83"/>
      <c r="OE1" s="83"/>
      <c r="OF1" s="83"/>
      <c r="OG1" s="83"/>
      <c r="OH1" s="83"/>
      <c r="OI1" s="83"/>
      <c r="OJ1" s="83"/>
      <c r="OK1" s="83"/>
      <c r="OL1" s="83"/>
      <c r="OM1" s="83"/>
      <c r="ON1" s="83"/>
      <c r="OO1" s="83"/>
      <c r="OP1" s="83"/>
      <c r="OQ1" s="83"/>
      <c r="OR1" s="83"/>
      <c r="OS1" s="83"/>
      <c r="OT1" s="83"/>
      <c r="OU1" s="83"/>
      <c r="OV1" s="83"/>
      <c r="OW1" s="83"/>
      <c r="OX1" s="83"/>
      <c r="OY1" s="83"/>
      <c r="OZ1" s="83"/>
      <c r="PA1" s="83"/>
      <c r="PB1" s="83"/>
      <c r="PC1" s="83"/>
      <c r="PD1" s="83"/>
      <c r="PE1" s="83"/>
      <c r="PF1" s="83"/>
      <c r="PG1" s="83"/>
      <c r="PH1" s="83"/>
      <c r="PI1" s="83"/>
      <c r="PJ1" s="83"/>
      <c r="PK1" s="83"/>
      <c r="PL1" s="83"/>
      <c r="PM1" s="83"/>
      <c r="PN1" s="83"/>
      <c r="PO1" s="83"/>
      <c r="PP1" s="83"/>
      <c r="PQ1" s="83"/>
      <c r="PR1" s="83"/>
      <c r="PS1" s="83"/>
      <c r="PT1" s="83"/>
      <c r="PU1" s="83"/>
      <c r="PV1" s="83"/>
      <c r="PW1" s="83"/>
      <c r="PX1" s="83"/>
      <c r="PY1" s="83"/>
      <c r="PZ1" s="83"/>
      <c r="QA1" s="83"/>
      <c r="QB1" s="83"/>
      <c r="QC1" s="83"/>
      <c r="QD1" s="83"/>
      <c r="QE1" s="83"/>
      <c r="QF1" s="83"/>
      <c r="QG1" s="83"/>
      <c r="QH1" s="83"/>
      <c r="QI1" s="83"/>
      <c r="QJ1" s="83"/>
      <c r="QK1" s="83"/>
      <c r="QL1" s="83"/>
      <c r="QM1" s="83"/>
      <c r="QN1" s="83"/>
      <c r="QO1" s="83"/>
      <c r="QP1" s="83"/>
      <c r="QQ1" s="83"/>
      <c r="QR1" s="83"/>
      <c r="QS1" s="83"/>
      <c r="QT1" s="83"/>
      <c r="QU1" s="83"/>
      <c r="QV1" s="83"/>
      <c r="QW1" s="83"/>
      <c r="QX1" s="83"/>
      <c r="QY1" s="83"/>
      <c r="QZ1" s="83"/>
      <c r="RA1" s="83"/>
      <c r="RB1" s="83"/>
      <c r="RC1" s="83"/>
      <c r="RD1" s="83"/>
      <c r="RE1" s="83"/>
      <c r="RF1" s="83"/>
      <c r="RG1" s="83"/>
      <c r="RH1" s="83"/>
      <c r="RI1" s="83"/>
      <c r="RJ1" s="83"/>
      <c r="RK1" s="83"/>
      <c r="RL1" s="83"/>
      <c r="RM1" s="83"/>
      <c r="RN1" s="83"/>
      <c r="RO1" s="83"/>
      <c r="RP1" s="83"/>
      <c r="RQ1" s="83"/>
      <c r="RR1" s="83"/>
      <c r="RS1" s="83"/>
      <c r="RT1" s="83"/>
      <c r="RU1" s="83"/>
      <c r="RV1" s="83"/>
      <c r="RW1" s="83"/>
      <c r="RX1" s="83"/>
      <c r="RY1" s="83"/>
      <c r="RZ1" s="83"/>
      <c r="SA1" s="83"/>
      <c r="SB1" s="83"/>
      <c r="SC1" s="83"/>
      <c r="SD1" s="83"/>
      <c r="SE1" s="83"/>
      <c r="SF1" s="83"/>
      <c r="SG1" s="83"/>
      <c r="SH1" s="83"/>
      <c r="SI1" s="83"/>
      <c r="SJ1" s="83"/>
      <c r="SK1" s="83"/>
      <c r="SL1" s="83"/>
      <c r="SM1" s="83"/>
      <c r="SN1" s="83"/>
      <c r="SO1" s="83"/>
      <c r="SP1" s="83"/>
      <c r="SQ1" s="83"/>
      <c r="SR1" s="83"/>
      <c r="SS1" s="83"/>
      <c r="ST1" s="83"/>
      <c r="SU1" s="83"/>
      <c r="SV1" s="83"/>
      <c r="SW1" s="83"/>
      <c r="SX1" s="83"/>
      <c r="SY1" s="83"/>
      <c r="SZ1" s="83"/>
      <c r="TA1" s="83"/>
      <c r="TB1" s="83"/>
      <c r="TC1" s="83"/>
      <c r="TD1" s="83"/>
      <c r="TE1" s="83"/>
      <c r="TF1" s="83"/>
      <c r="TG1" s="83"/>
      <c r="TH1" s="83"/>
      <c r="TI1" s="83"/>
      <c r="TJ1" s="83"/>
      <c r="TK1" s="83"/>
      <c r="TL1" s="83"/>
      <c r="TM1" s="83"/>
      <c r="TN1" s="83"/>
      <c r="TO1" s="83"/>
      <c r="TP1" s="83"/>
      <c r="TQ1" s="83"/>
      <c r="TR1" s="83"/>
      <c r="TS1" s="83"/>
      <c r="TT1" s="83"/>
      <c r="TU1" s="83"/>
      <c r="TV1" s="83"/>
      <c r="TW1" s="83"/>
      <c r="TX1" s="83"/>
      <c r="TY1" s="83"/>
      <c r="TZ1" s="83"/>
      <c r="UA1" s="83"/>
      <c r="UB1" s="83"/>
      <c r="UC1" s="83"/>
      <c r="UD1" s="83"/>
      <c r="UE1" s="83"/>
      <c r="UF1" s="83"/>
      <c r="UG1" s="83"/>
      <c r="UH1" s="83"/>
      <c r="UI1" s="83"/>
      <c r="UJ1" s="83"/>
      <c r="UK1" s="83"/>
      <c r="UL1" s="83"/>
      <c r="UM1" s="83"/>
      <c r="UN1" s="83"/>
      <c r="UO1" s="83"/>
      <c r="UP1" s="83"/>
      <c r="UQ1" s="83"/>
      <c r="UR1" s="83"/>
      <c r="US1" s="83"/>
      <c r="UT1" s="83"/>
      <c r="UU1" s="83"/>
      <c r="UV1" s="83"/>
      <c r="UW1" s="83"/>
      <c r="UX1" s="83"/>
      <c r="UY1" s="83"/>
      <c r="UZ1" s="83"/>
      <c r="VA1" s="83"/>
      <c r="VB1" s="83"/>
      <c r="VC1" s="83"/>
      <c r="VD1" s="83"/>
      <c r="VE1" s="83"/>
      <c r="VF1" s="83"/>
      <c r="VG1" s="83"/>
      <c r="VH1" s="83"/>
      <c r="VI1" s="83"/>
      <c r="VJ1" s="83"/>
      <c r="VK1" s="83"/>
      <c r="VL1" s="83"/>
      <c r="VM1" s="83"/>
      <c r="VN1" s="83"/>
      <c r="VO1" s="83"/>
      <c r="VP1" s="83"/>
      <c r="VQ1" s="83"/>
      <c r="VR1" s="83"/>
      <c r="VS1" s="83"/>
      <c r="VT1" s="83"/>
      <c r="VU1" s="83"/>
      <c r="VV1" s="83"/>
      <c r="VW1" s="83"/>
      <c r="VX1" s="83"/>
      <c r="VY1" s="83"/>
      <c r="VZ1" s="83"/>
      <c r="WA1" s="83"/>
      <c r="WB1" s="83"/>
      <c r="WC1" s="83"/>
      <c r="WD1" s="83"/>
      <c r="WE1" s="83"/>
      <c r="WF1" s="83"/>
      <c r="WG1" s="83"/>
      <c r="WH1" s="83"/>
      <c r="WI1" s="83"/>
      <c r="WJ1" s="83"/>
      <c r="WK1" s="83"/>
      <c r="WL1" s="83"/>
      <c r="WM1" s="83"/>
      <c r="WN1" s="83"/>
      <c r="WO1" s="83"/>
      <c r="WP1" s="83"/>
      <c r="WQ1" s="83"/>
      <c r="WR1" s="83"/>
      <c r="WS1" s="83"/>
      <c r="WT1" s="83"/>
      <c r="WU1" s="83"/>
      <c r="WV1" s="83"/>
      <c r="WW1" s="83"/>
      <c r="WX1" s="83"/>
      <c r="WY1" s="83"/>
      <c r="WZ1" s="83"/>
      <c r="XA1" s="83"/>
      <c r="XB1" s="83"/>
      <c r="XC1" s="83"/>
      <c r="XD1" s="83"/>
      <c r="XE1" s="83"/>
      <c r="XF1" s="83"/>
      <c r="XG1" s="83"/>
      <c r="XH1" s="83"/>
      <c r="XI1" s="83"/>
      <c r="XJ1" s="83"/>
      <c r="XK1" s="83"/>
      <c r="XL1" s="83"/>
      <c r="XM1" s="83"/>
      <c r="XN1" s="83"/>
      <c r="XO1" s="83"/>
      <c r="XP1" s="83"/>
      <c r="XQ1" s="83"/>
      <c r="XR1" s="83"/>
      <c r="XS1" s="83"/>
      <c r="XT1" s="83"/>
      <c r="XU1" s="83"/>
      <c r="XV1" s="83"/>
      <c r="XW1" s="83"/>
      <c r="XX1" s="83"/>
      <c r="XY1" s="83"/>
      <c r="XZ1" s="83"/>
      <c r="YA1" s="83"/>
      <c r="YB1" s="83"/>
      <c r="YC1" s="83"/>
      <c r="YD1" s="83"/>
      <c r="YE1" s="83"/>
      <c r="YF1" s="83"/>
      <c r="YG1" s="83"/>
      <c r="YH1" s="83"/>
      <c r="YI1" s="83"/>
      <c r="YJ1" s="83"/>
      <c r="YK1" s="83"/>
      <c r="YL1" s="83"/>
      <c r="YM1" s="83"/>
      <c r="YN1" s="83"/>
      <c r="YO1" s="83"/>
      <c r="YP1" s="83"/>
      <c r="YQ1" s="83"/>
      <c r="YR1" s="83"/>
      <c r="YS1" s="83"/>
      <c r="YT1" s="83"/>
      <c r="YU1" s="83"/>
      <c r="YV1" s="83"/>
      <c r="YW1" s="83"/>
      <c r="YX1" s="83"/>
      <c r="YY1" s="83"/>
      <c r="YZ1" s="83"/>
      <c r="ZA1" s="83"/>
      <c r="ZB1" s="83"/>
      <c r="ZC1" s="83"/>
      <c r="ZD1" s="83"/>
      <c r="ZE1" s="83"/>
      <c r="ZF1" s="83"/>
      <c r="ZG1" s="83"/>
      <c r="ZH1" s="83"/>
      <c r="ZI1" s="83"/>
      <c r="ZJ1" s="83"/>
      <c r="ZK1" s="83"/>
      <c r="ZL1" s="83"/>
      <c r="ZM1" s="83"/>
      <c r="ZN1" s="83"/>
      <c r="ZO1" s="83"/>
      <c r="ZP1" s="83"/>
      <c r="ZQ1" s="83"/>
      <c r="ZR1" s="83"/>
      <c r="ZS1" s="83"/>
      <c r="ZT1" s="83"/>
      <c r="ZU1" s="83"/>
      <c r="ZV1" s="83"/>
      <c r="ZW1" s="83"/>
      <c r="ZX1" s="83"/>
      <c r="ZY1" s="83"/>
      <c r="ZZ1" s="83"/>
      <c r="AAA1" s="83"/>
      <c r="AAB1" s="83"/>
      <c r="AAC1" s="83"/>
      <c r="AAD1" s="83"/>
      <c r="AAE1" s="83"/>
      <c r="AAF1" s="83"/>
      <c r="AAG1" s="83"/>
      <c r="AAH1" s="83"/>
      <c r="AAI1" s="83"/>
      <c r="AAJ1" s="83"/>
      <c r="AAK1" s="83"/>
      <c r="AAL1" s="83"/>
      <c r="AAM1" s="83"/>
      <c r="AAN1" s="83"/>
      <c r="AAO1" s="83"/>
      <c r="AAP1" s="83"/>
      <c r="AAQ1" s="83"/>
      <c r="AAR1" s="83"/>
      <c r="AAS1" s="83"/>
      <c r="AAT1" s="83"/>
      <c r="AAU1" s="83"/>
      <c r="AAV1" s="83"/>
      <c r="AAW1" s="83"/>
      <c r="AAX1" s="83"/>
      <c r="AAY1" s="83"/>
      <c r="AAZ1" s="83"/>
      <c r="ABA1" s="83"/>
      <c r="ABB1" s="83"/>
      <c r="ABC1" s="83"/>
      <c r="ABD1" s="83"/>
      <c r="ABE1" s="83"/>
      <c r="ABF1" s="83"/>
      <c r="ABG1" s="83"/>
      <c r="ABH1" s="83"/>
      <c r="ABI1" s="83"/>
      <c r="ABJ1" s="83"/>
      <c r="ABK1" s="83"/>
      <c r="ABL1" s="83"/>
      <c r="ABM1" s="83"/>
      <c r="ABN1" s="83"/>
      <c r="ABO1" s="83"/>
      <c r="ABP1" s="83"/>
      <c r="ABQ1" s="83"/>
      <c r="ABR1" s="83"/>
      <c r="ABS1" s="83"/>
      <c r="ABT1" s="83"/>
      <c r="ABU1" s="83"/>
      <c r="ABV1" s="83"/>
      <c r="ABW1" s="83"/>
      <c r="ABX1" s="83"/>
      <c r="ABY1" s="83"/>
      <c r="ABZ1" s="83"/>
      <c r="ACA1" s="83"/>
      <c r="ACB1" s="83"/>
      <c r="ACC1" s="83"/>
      <c r="ACD1" s="83"/>
      <c r="ACE1" s="83"/>
      <c r="ACF1" s="83"/>
      <c r="ACG1" s="83"/>
      <c r="ACH1" s="83"/>
      <c r="ACI1" s="83"/>
      <c r="ACJ1" s="83"/>
      <c r="ACK1" s="83"/>
      <c r="ACL1" s="83"/>
      <c r="ACM1" s="83"/>
      <c r="ACN1" s="83"/>
      <c r="ACO1" s="83"/>
      <c r="ACP1" s="83"/>
      <c r="ACQ1" s="83"/>
      <c r="ACR1" s="83"/>
      <c r="ACS1" s="83"/>
      <c r="ACT1" s="83"/>
      <c r="ACU1" s="83"/>
      <c r="ACV1" s="83"/>
      <c r="ACW1" s="83"/>
      <c r="ACX1" s="83"/>
      <c r="ACY1" s="83"/>
      <c r="ACZ1" s="83"/>
      <c r="ADA1" s="83"/>
      <c r="ADB1" s="83"/>
      <c r="ADC1" s="83"/>
      <c r="ADD1" s="83"/>
      <c r="ADE1" s="83"/>
      <c r="ADF1" s="83"/>
      <c r="ADG1" s="83"/>
      <c r="ADH1" s="83"/>
      <c r="ADI1" s="83"/>
      <c r="ADJ1" s="83"/>
      <c r="ADK1" s="83"/>
      <c r="ADL1" s="83"/>
      <c r="ADM1" s="83"/>
      <c r="ADN1" s="83"/>
      <c r="ADO1" s="83"/>
      <c r="ADP1" s="83"/>
      <c r="ADQ1" s="83"/>
      <c r="ADR1" s="83"/>
      <c r="ADS1" s="83"/>
      <c r="ADT1" s="83"/>
      <c r="ADU1" s="83"/>
      <c r="ADV1" s="83"/>
      <c r="ADW1" s="83"/>
      <c r="ADX1" s="83"/>
      <c r="ADY1" s="83"/>
      <c r="ADZ1" s="83"/>
      <c r="AEA1" s="83"/>
      <c r="AEB1" s="83"/>
      <c r="AEC1" s="83"/>
      <c r="AED1" s="83"/>
      <c r="AEE1" s="83"/>
      <c r="AEF1" s="83"/>
      <c r="AEG1" s="83"/>
      <c r="AEH1" s="83"/>
      <c r="AEI1" s="83"/>
      <c r="AEJ1" s="83"/>
      <c r="AEK1" s="83"/>
      <c r="AEL1" s="83"/>
      <c r="AEM1" s="83"/>
      <c r="AEN1" s="83"/>
      <c r="AEO1" s="83"/>
      <c r="AEP1" s="83"/>
      <c r="AEQ1" s="83"/>
      <c r="AER1" s="83"/>
      <c r="AES1" s="83"/>
      <c r="AET1" s="83"/>
      <c r="AEU1" s="83"/>
      <c r="AEV1" s="83"/>
      <c r="AEW1" s="83"/>
      <c r="AEX1" s="83"/>
      <c r="AEY1" s="83"/>
      <c r="AEZ1" s="83"/>
      <c r="AFA1" s="83"/>
      <c r="AFB1" s="83"/>
      <c r="AFC1" s="83"/>
      <c r="AFD1" s="83"/>
      <c r="AFE1" s="83"/>
      <c r="AFF1" s="83"/>
      <c r="AFG1" s="83"/>
      <c r="AFH1" s="83"/>
      <c r="AFI1" s="83"/>
      <c r="AFJ1" s="83"/>
      <c r="AFK1" s="83"/>
      <c r="AFL1" s="83"/>
      <c r="AFM1" s="83"/>
      <c r="AFN1" s="83"/>
      <c r="AFO1" s="83"/>
      <c r="AFP1" s="83"/>
      <c r="AFQ1" s="83"/>
      <c r="AFR1" s="83"/>
      <c r="AFS1" s="83"/>
      <c r="AFT1" s="83"/>
      <c r="AFU1" s="83"/>
      <c r="AFV1" s="83"/>
      <c r="AFW1" s="83"/>
      <c r="AFX1" s="83"/>
      <c r="AFY1" s="83"/>
      <c r="AFZ1" s="83"/>
      <c r="AGA1" s="83"/>
      <c r="AGB1" s="83"/>
      <c r="AGC1" s="83"/>
      <c r="AGD1" s="83"/>
      <c r="AGE1" s="83"/>
      <c r="AGF1" s="83"/>
      <c r="AGG1" s="83"/>
      <c r="AGH1" s="83"/>
      <c r="AGI1" s="83"/>
      <c r="AGJ1" s="83"/>
      <c r="AGK1" s="83"/>
      <c r="AGL1" s="83"/>
      <c r="AGM1" s="83"/>
      <c r="AGN1" s="83"/>
      <c r="AGO1" s="83"/>
      <c r="AGP1" s="83"/>
      <c r="AGQ1" s="83"/>
      <c r="AGR1" s="83"/>
      <c r="AGS1" s="83"/>
      <c r="AGT1" s="83"/>
      <c r="AGU1" s="83"/>
      <c r="AGV1" s="83"/>
      <c r="AGW1" s="83"/>
      <c r="AGX1" s="83"/>
      <c r="AGY1" s="83"/>
      <c r="AGZ1" s="83"/>
      <c r="AHA1" s="83"/>
      <c r="AHB1" s="83"/>
      <c r="AHC1" s="83"/>
      <c r="AHD1" s="83"/>
      <c r="AHE1" s="83"/>
      <c r="AHF1" s="83"/>
      <c r="AHG1" s="83"/>
      <c r="AHH1" s="83"/>
      <c r="AHI1" s="83"/>
      <c r="AHJ1" s="83"/>
      <c r="AHK1" s="83"/>
      <c r="AHL1" s="83"/>
      <c r="AHM1" s="83"/>
      <c r="AHN1" s="83"/>
      <c r="AHO1" s="83"/>
      <c r="AHP1" s="83"/>
      <c r="AHQ1" s="83"/>
      <c r="AHR1" s="83"/>
      <c r="AHS1" s="83"/>
      <c r="AHT1" s="83"/>
      <c r="AHU1" s="83"/>
      <c r="AHV1" s="83"/>
      <c r="AHW1" s="83"/>
      <c r="AHX1" s="83"/>
      <c r="AHY1" s="83"/>
      <c r="AHZ1" s="83"/>
      <c r="AIA1" s="83"/>
      <c r="AIB1" s="83"/>
      <c r="AIC1" s="83"/>
      <c r="AID1" s="83"/>
      <c r="AIE1" s="83"/>
      <c r="AIF1" s="83"/>
      <c r="AIG1" s="83"/>
      <c r="AIH1" s="83"/>
      <c r="AII1" s="83"/>
      <c r="AIJ1" s="83"/>
      <c r="AIK1" s="83"/>
      <c r="AIL1" s="83"/>
      <c r="AIM1" s="83"/>
      <c r="AIN1" s="83"/>
      <c r="AIO1" s="83"/>
      <c r="AIP1" s="83"/>
      <c r="AIQ1" s="83"/>
      <c r="AIR1" s="83"/>
      <c r="AIS1" s="83"/>
      <c r="AIT1" s="83"/>
      <c r="AIU1" s="83"/>
      <c r="AIV1" s="83"/>
      <c r="AIW1" s="83"/>
      <c r="AIX1" s="83"/>
      <c r="AIY1" s="83"/>
      <c r="AIZ1" s="83"/>
      <c r="AJA1" s="83"/>
      <c r="AJB1" s="83"/>
      <c r="AJC1" s="83"/>
      <c r="AJD1" s="83"/>
      <c r="AJE1" s="83"/>
      <c r="AJF1" s="83"/>
      <c r="AJG1" s="83"/>
      <c r="AJH1" s="83"/>
      <c r="AJI1" s="83"/>
      <c r="AJJ1" s="83"/>
      <c r="AJK1" s="83"/>
      <c r="AJL1" s="83"/>
      <c r="AJM1" s="83"/>
      <c r="AJN1" s="83"/>
      <c r="AJO1" s="83"/>
      <c r="AJP1" s="83"/>
      <c r="AJQ1" s="83"/>
      <c r="AJR1" s="83"/>
      <c r="AJS1" s="83"/>
      <c r="AJT1" s="83"/>
      <c r="AJU1" s="83"/>
      <c r="AJV1" s="83"/>
      <c r="AJW1" s="83"/>
      <c r="AJX1" s="83"/>
      <c r="AJY1" s="83"/>
      <c r="AJZ1" s="83"/>
      <c r="AKA1" s="83"/>
      <c r="AKB1" s="83"/>
      <c r="AKC1" s="83"/>
      <c r="AKD1" s="83"/>
      <c r="AKE1" s="83"/>
      <c r="AKF1" s="83"/>
      <c r="AKG1" s="83"/>
      <c r="AKH1" s="83"/>
      <c r="AKI1" s="83"/>
      <c r="AKJ1" s="83"/>
      <c r="AKK1" s="83"/>
      <c r="AKL1" s="83"/>
      <c r="AKM1" s="83"/>
      <c r="AKN1" s="83"/>
      <c r="AKO1" s="83"/>
      <c r="AKP1" s="83"/>
      <c r="AKQ1" s="83"/>
      <c r="AKR1" s="83"/>
      <c r="AKS1" s="83"/>
      <c r="AKT1" s="83"/>
      <c r="AKU1" s="83"/>
      <c r="AKV1" s="83"/>
      <c r="AKW1" s="83"/>
      <c r="AKX1" s="83"/>
      <c r="AKY1" s="83"/>
      <c r="AKZ1" s="83"/>
      <c r="ALA1" s="83"/>
      <c r="ALB1" s="83"/>
      <c r="ALC1" s="83"/>
      <c r="ALD1" s="83"/>
      <c r="ALE1" s="83"/>
      <c r="ALF1" s="83"/>
      <c r="ALG1" s="83"/>
      <c r="ALH1" s="83"/>
      <c r="ALI1" s="83"/>
      <c r="ALJ1" s="83"/>
      <c r="ALK1" s="83"/>
      <c r="ALL1" s="83"/>
      <c r="ALM1" s="83"/>
      <c r="ALN1" s="83"/>
      <c r="ALO1" s="83"/>
      <c r="ALP1" s="83"/>
      <c r="ALQ1" s="83"/>
      <c r="ALR1" s="83"/>
      <c r="ALS1" s="83"/>
      <c r="ALT1" s="83"/>
      <c r="ALU1" s="83"/>
      <c r="ALV1" s="83"/>
      <c r="ALW1" s="83"/>
      <c r="ALX1" s="83"/>
      <c r="ALY1" s="83"/>
      <c r="ALZ1" s="83"/>
      <c r="AMA1" s="83"/>
      <c r="AMB1" s="83"/>
      <c r="AMC1" s="83"/>
      <c r="AMD1" s="83"/>
      <c r="AME1" s="83"/>
      <c r="AMF1" s="83"/>
      <c r="AMG1" s="83"/>
      <c r="AMH1" s="83"/>
      <c r="AMI1" s="83"/>
      <c r="AMJ1" s="83"/>
    </row>
    <row r="2" spans="1:8" ht="12">
      <c r="A2" s="76" t="s">
        <v>28</v>
      </c>
      <c r="B2" s="76"/>
      <c r="C2" s="432"/>
      <c r="D2" s="432"/>
      <c r="E2" s="432"/>
      <c r="F2" s="432"/>
      <c r="G2" s="431"/>
      <c r="H2" s="430"/>
    </row>
    <row r="3" spans="1:8" ht="15">
      <c r="A3" s="76" t="s">
        <v>24</v>
      </c>
      <c r="B3" s="78"/>
      <c r="C3" s="433"/>
      <c r="D3" s="83"/>
      <c r="E3" s="83"/>
      <c r="F3" s="83"/>
      <c r="G3" s="84"/>
      <c r="H3" s="83"/>
    </row>
    <row r="4" spans="1:8" ht="15">
      <c r="A4" s="76" t="s">
        <v>861</v>
      </c>
      <c r="B4" s="78"/>
      <c r="C4" s="433"/>
      <c r="D4" s="83"/>
      <c r="E4" s="83"/>
      <c r="F4" s="83"/>
      <c r="G4" s="84"/>
      <c r="H4" s="83"/>
    </row>
    <row r="6" spans="2:19" s="629" customFormat="1" ht="29.25" customHeight="1">
      <c r="B6" s="630"/>
      <c r="C6" s="631" t="s">
        <v>862</v>
      </c>
      <c r="D6" s="632" t="s">
        <v>863</v>
      </c>
      <c r="E6" s="632" t="s">
        <v>864</v>
      </c>
      <c r="F6" s="632" t="s">
        <v>33</v>
      </c>
      <c r="G6" s="632" t="s">
        <v>34</v>
      </c>
      <c r="H6" s="632" t="s">
        <v>865</v>
      </c>
      <c r="I6" s="632" t="s">
        <v>866</v>
      </c>
      <c r="J6" s="633" t="s">
        <v>867</v>
      </c>
      <c r="K6" s="144" t="s">
        <v>868</v>
      </c>
      <c r="L6" s="630"/>
      <c r="M6" s="145"/>
      <c r="N6" s="146" t="s">
        <v>869</v>
      </c>
      <c r="O6" s="146" t="s">
        <v>870</v>
      </c>
      <c r="P6" s="146" t="s">
        <v>871</v>
      </c>
      <c r="Q6" s="146" t="s">
        <v>872</v>
      </c>
      <c r="R6" s="146" t="s">
        <v>873</v>
      </c>
      <c r="S6" s="147" t="s">
        <v>874</v>
      </c>
    </row>
    <row r="7" spans="2:62" s="634" customFormat="1" ht="22.95" customHeight="1">
      <c r="B7" s="635"/>
      <c r="C7" s="636" t="s">
        <v>875</v>
      </c>
      <c r="J7" s="637">
        <f>J8</f>
        <v>0</v>
      </c>
      <c r="L7" s="635"/>
      <c r="M7" s="638"/>
      <c r="N7" s="639"/>
      <c r="O7" s="640" t="e">
        <f>O8</f>
        <v>#REF!</v>
      </c>
      <c r="P7" s="639"/>
      <c r="Q7" s="640" t="e">
        <f>Q8</f>
        <v>#REF!</v>
      </c>
      <c r="R7" s="639"/>
      <c r="S7" s="641" t="e">
        <f>S8</f>
        <v>#REF!</v>
      </c>
      <c r="AS7" s="642" t="s">
        <v>876</v>
      </c>
      <c r="AT7" s="642" t="s">
        <v>877</v>
      </c>
      <c r="BJ7" s="155" t="e">
        <f>BJ8</f>
        <v>#REF!</v>
      </c>
    </row>
    <row r="8" spans="2:62" s="643" customFormat="1" ht="25.95" customHeight="1">
      <c r="B8" s="644"/>
      <c r="D8" s="158" t="s">
        <v>876</v>
      </c>
      <c r="E8" s="645" t="s">
        <v>204</v>
      </c>
      <c r="F8" s="645" t="s">
        <v>205</v>
      </c>
      <c r="J8" s="646">
        <f>J9</f>
        <v>0</v>
      </c>
      <c r="L8" s="644"/>
      <c r="M8" s="647"/>
      <c r="O8" s="648" t="e">
        <f>O9+#REF!+#REF!+#REF!+#REF!</f>
        <v>#REF!</v>
      </c>
      <c r="Q8" s="648" t="e">
        <f>Q9+#REF!+#REF!+#REF!+#REF!</f>
        <v>#REF!</v>
      </c>
      <c r="S8" s="649" t="e">
        <f>S9+#REF!+#REF!+#REF!+#REF!</f>
        <v>#REF!</v>
      </c>
      <c r="AQ8" s="158" t="s">
        <v>38</v>
      </c>
      <c r="AS8" s="163" t="s">
        <v>876</v>
      </c>
      <c r="AT8" s="163" t="s">
        <v>878</v>
      </c>
      <c r="AX8" s="158" t="s">
        <v>879</v>
      </c>
      <c r="BJ8" s="164" t="e">
        <f>BJ9+#REF!+#REF!+#REF!+#REF!</f>
        <v>#REF!</v>
      </c>
    </row>
    <row r="9" spans="2:62" s="643" customFormat="1" ht="22.95" customHeight="1">
      <c r="B9" s="644"/>
      <c r="D9" s="158" t="s">
        <v>876</v>
      </c>
      <c r="E9" s="650" t="s">
        <v>880</v>
      </c>
      <c r="F9" s="650" t="s">
        <v>881</v>
      </c>
      <c r="J9" s="651">
        <f>BJ9</f>
        <v>0</v>
      </c>
      <c r="L9" s="644"/>
      <c r="M9" s="647"/>
      <c r="O9" s="648">
        <f>SUM(O10:O10)</f>
        <v>0</v>
      </c>
      <c r="Q9" s="648">
        <f>SUM(Q10:Q10)</f>
        <v>0</v>
      </c>
      <c r="S9" s="649">
        <f>SUM(S10:S10)</f>
        <v>0</v>
      </c>
      <c r="AQ9" s="158" t="s">
        <v>38</v>
      </c>
      <c r="AS9" s="163" t="s">
        <v>876</v>
      </c>
      <c r="AT9" s="163" t="s">
        <v>37</v>
      </c>
      <c r="AX9" s="158" t="s">
        <v>879</v>
      </c>
      <c r="BJ9" s="164">
        <f>SUM(BJ10:BJ10)</f>
        <v>0</v>
      </c>
    </row>
    <row r="10" spans="2:64" s="634" customFormat="1" ht="16.5" customHeight="1">
      <c r="B10" s="635"/>
      <c r="C10" s="659" t="s">
        <v>934</v>
      </c>
      <c r="D10" s="659" t="s">
        <v>882</v>
      </c>
      <c r="E10" s="660" t="s">
        <v>1431</v>
      </c>
      <c r="F10" s="661" t="s">
        <v>1432</v>
      </c>
      <c r="G10" s="662" t="s">
        <v>25</v>
      </c>
      <c r="H10" s="663">
        <v>3</v>
      </c>
      <c r="I10" s="674"/>
      <c r="J10" s="664">
        <f aca="true" t="shared" si="0" ref="J10">ROUND(I10*H10,2)</f>
        <v>0</v>
      </c>
      <c r="K10" s="165"/>
      <c r="L10" s="635"/>
      <c r="M10" s="166"/>
      <c r="N10" s="652">
        <v>0</v>
      </c>
      <c r="O10" s="652">
        <f aca="true" t="shared" si="1" ref="O10">N10*H10</f>
        <v>0</v>
      </c>
      <c r="P10" s="652">
        <v>0</v>
      </c>
      <c r="Q10" s="652">
        <f aca="true" t="shared" si="2" ref="Q10">P10*H10</f>
        <v>0</v>
      </c>
      <c r="R10" s="652">
        <v>0</v>
      </c>
      <c r="S10" s="168">
        <f aca="true" t="shared" si="3" ref="S10">R10*H10</f>
        <v>0</v>
      </c>
      <c r="AQ10" s="169" t="s">
        <v>886</v>
      </c>
      <c r="AS10" s="169" t="s">
        <v>882</v>
      </c>
      <c r="AT10" s="169" t="s">
        <v>38</v>
      </c>
      <c r="AX10" s="642" t="s">
        <v>879</v>
      </c>
      <c r="BD10" s="653" t="e">
        <f>IF(#REF!="základní",J10,0)</f>
        <v>#REF!</v>
      </c>
      <c r="BE10" s="653" t="e">
        <f>IF(#REF!="snížená",J10,0)</f>
        <v>#REF!</v>
      </c>
      <c r="BF10" s="653" t="e">
        <f>IF(#REF!="zákl. přenesená",J10,0)</f>
        <v>#REF!</v>
      </c>
      <c r="BG10" s="653" t="e">
        <f>IF(#REF!="sníž. přenesená",J10,0)</f>
        <v>#REF!</v>
      </c>
      <c r="BH10" s="653" t="e">
        <f>IF(#REF!="nulová",J10,0)</f>
        <v>#REF!</v>
      </c>
      <c r="BI10" s="642" t="s">
        <v>37</v>
      </c>
      <c r="BJ10" s="653">
        <f aca="true" t="shared" si="4" ref="BJ10">ROUND(I10*H10,2)</f>
        <v>0</v>
      </c>
      <c r="BK10" s="642" t="s">
        <v>886</v>
      </c>
      <c r="BL10" s="169" t="s">
        <v>1433</v>
      </c>
    </row>
    <row r="11" spans="2:12" s="634" customFormat="1" ht="6.9" customHeight="1">
      <c r="B11" s="654"/>
      <c r="C11" s="655"/>
      <c r="D11" s="655"/>
      <c r="E11" s="655"/>
      <c r="F11" s="655"/>
      <c r="G11" s="655"/>
      <c r="H11" s="655"/>
      <c r="I11" s="655"/>
      <c r="J11" s="655"/>
      <c r="K11" s="655"/>
      <c r="L11" s="635"/>
    </row>
  </sheetData>
  <sheetProtection sheet="1" objects="1" scenarios="1"/>
  <autoFilter ref="C6:K10"/>
  <printOptions/>
  <pageMargins left="0.39375" right="0.39375" top="0.39375" bottom="0.39375" header="0.511805555555555" footer="0"/>
  <pageSetup fitToHeight="99" fitToWidth="1" horizontalDpi="300" verticalDpi="300" orientation="portrait" paperSize="9" scale="76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 topLeftCell="A1">
      <selection activeCell="J24" sqref="J24"/>
    </sheetView>
  </sheetViews>
  <sheetFormatPr defaultColWidth="8.57421875" defaultRowHeight="15"/>
  <cols>
    <col min="1" max="1" width="6.7109375" style="0" customWidth="1"/>
    <col min="2" max="2" width="64.7109375" style="0" customWidth="1"/>
    <col min="3" max="3" width="6.7109375" style="0" customWidth="1"/>
    <col min="4" max="4" width="8.7109375" style="0" customWidth="1"/>
    <col min="5" max="5" width="10.7109375" style="0" customWidth="1"/>
    <col min="6" max="6" width="13.7109375" style="0" customWidth="1"/>
  </cols>
  <sheetData>
    <row r="1" spans="1:8" s="83" customFormat="1" ht="21">
      <c r="A1" s="74" t="s">
        <v>1453</v>
      </c>
      <c r="B1" s="75"/>
      <c r="C1" s="75"/>
      <c r="D1" s="75"/>
      <c r="E1" s="75"/>
      <c r="F1" s="75"/>
      <c r="G1" s="85"/>
      <c r="H1" s="75"/>
    </row>
    <row r="2" spans="1:6" ht="15">
      <c r="A2" s="76" t="s">
        <v>28</v>
      </c>
      <c r="B2" s="77"/>
      <c r="C2" s="77"/>
      <c r="D2" s="77"/>
      <c r="E2" s="85"/>
      <c r="F2" s="75"/>
    </row>
    <row r="3" spans="1:6" ht="15">
      <c r="A3" s="76" t="s">
        <v>24</v>
      </c>
      <c r="B3" s="80"/>
      <c r="C3" s="80"/>
      <c r="D3" s="80"/>
      <c r="E3" s="81"/>
      <c r="F3" s="80"/>
    </row>
    <row r="4" spans="1:6" ht="15">
      <c r="A4" s="76" t="s">
        <v>1242</v>
      </c>
      <c r="B4" s="80"/>
      <c r="C4" s="80"/>
      <c r="D4" s="80"/>
      <c r="E4" s="81"/>
      <c r="F4" s="80"/>
    </row>
    <row r="5" spans="1:6" ht="15">
      <c r="A5" s="76"/>
      <c r="B5" s="80"/>
      <c r="C5" s="80"/>
      <c r="D5" s="80"/>
      <c r="E5" s="81"/>
      <c r="F5" s="80"/>
    </row>
    <row r="6" spans="1:6" ht="21.6">
      <c r="A6" s="86" t="s">
        <v>30</v>
      </c>
      <c r="B6" s="87" t="s">
        <v>33</v>
      </c>
      <c r="C6" s="87" t="s">
        <v>34</v>
      </c>
      <c r="D6" s="87" t="s">
        <v>35</v>
      </c>
      <c r="E6" s="88" t="s">
        <v>36</v>
      </c>
      <c r="F6" s="87" t="s">
        <v>15</v>
      </c>
    </row>
    <row r="7" spans="1:6" ht="15">
      <c r="A7" s="86" t="s">
        <v>37</v>
      </c>
      <c r="B7" s="87" t="s">
        <v>40</v>
      </c>
      <c r="C7" s="87" t="s">
        <v>41</v>
      </c>
      <c r="D7" s="87" t="s">
        <v>42</v>
      </c>
      <c r="E7" s="88" t="s">
        <v>43</v>
      </c>
      <c r="F7" s="87">
        <v>8</v>
      </c>
    </row>
    <row r="8" spans="1:6" ht="15" customHeight="1">
      <c r="A8" s="93"/>
      <c r="B8" s="94" t="s">
        <v>18</v>
      </c>
      <c r="C8" s="94"/>
      <c r="D8" s="95"/>
      <c r="E8" s="96"/>
      <c r="F8" s="96">
        <f>SUM(F9:F28)</f>
        <v>0</v>
      </c>
    </row>
    <row r="9" spans="1:6" s="101" customFormat="1" ht="13.5" customHeight="1">
      <c r="A9" s="97">
        <v>1</v>
      </c>
      <c r="B9" s="98" t="s">
        <v>1243</v>
      </c>
      <c r="C9" s="98" t="s">
        <v>25</v>
      </c>
      <c r="D9" s="99">
        <v>6</v>
      </c>
      <c r="E9" s="673"/>
      <c r="F9" s="100">
        <f aca="true" t="shared" si="0" ref="F9:F28">D9*E9</f>
        <v>0</v>
      </c>
    </row>
    <row r="10" spans="1:6" s="101" customFormat="1" ht="13.5" customHeight="1">
      <c r="A10" s="97">
        <v>2</v>
      </c>
      <c r="B10" s="98" t="s">
        <v>1244</v>
      </c>
      <c r="C10" s="98" t="s">
        <v>25</v>
      </c>
      <c r="D10" s="99">
        <v>2</v>
      </c>
      <c r="E10" s="673"/>
      <c r="F10" s="100">
        <f t="shared" si="0"/>
        <v>0</v>
      </c>
    </row>
    <row r="11" spans="1:6" s="101" customFormat="1" ht="13.5" customHeight="1">
      <c r="A11" s="97">
        <v>3</v>
      </c>
      <c r="B11" s="98" t="s">
        <v>1245</v>
      </c>
      <c r="C11" s="98" t="s">
        <v>25</v>
      </c>
      <c r="D11" s="99">
        <v>2</v>
      </c>
      <c r="E11" s="673"/>
      <c r="F11" s="100">
        <f t="shared" si="0"/>
        <v>0</v>
      </c>
    </row>
    <row r="12" spans="1:6" s="101" customFormat="1" ht="13.5" customHeight="1">
      <c r="A12" s="97">
        <v>4</v>
      </c>
      <c r="B12" s="98" t="s">
        <v>1246</v>
      </c>
      <c r="C12" s="98" t="s">
        <v>25</v>
      </c>
      <c r="D12" s="99">
        <v>2</v>
      </c>
      <c r="E12" s="673"/>
      <c r="F12" s="100">
        <f t="shared" si="0"/>
        <v>0</v>
      </c>
    </row>
    <row r="13" spans="1:6" s="101" customFormat="1" ht="13.5" customHeight="1">
      <c r="A13" s="97">
        <v>5</v>
      </c>
      <c r="B13" s="98" t="s">
        <v>1247</v>
      </c>
      <c r="C13" s="98" t="s">
        <v>139</v>
      </c>
      <c r="D13" s="99">
        <v>60</v>
      </c>
      <c r="E13" s="673"/>
      <c r="F13" s="100">
        <f t="shared" si="0"/>
        <v>0</v>
      </c>
    </row>
    <row r="14" spans="1:6" s="101" customFormat="1" ht="13.5" customHeight="1">
      <c r="A14" s="97">
        <v>6</v>
      </c>
      <c r="B14" s="98" t="s">
        <v>1248</v>
      </c>
      <c r="C14" s="98" t="s">
        <v>25</v>
      </c>
      <c r="D14" s="99">
        <v>2</v>
      </c>
      <c r="E14" s="673"/>
      <c r="F14" s="100">
        <f t="shared" si="0"/>
        <v>0</v>
      </c>
    </row>
    <row r="15" spans="1:6" s="101" customFormat="1" ht="13.5" customHeight="1">
      <c r="A15" s="97">
        <v>7</v>
      </c>
      <c r="B15" s="98" t="s">
        <v>1249</v>
      </c>
      <c r="C15" s="98" t="s">
        <v>25</v>
      </c>
      <c r="D15" s="99">
        <v>144</v>
      </c>
      <c r="E15" s="673"/>
      <c r="F15" s="100">
        <f t="shared" si="0"/>
        <v>0</v>
      </c>
    </row>
    <row r="16" spans="1:6" s="101" customFormat="1" ht="13.5" customHeight="1">
      <c r="A16" s="97">
        <v>8</v>
      </c>
      <c r="B16" s="98" t="s">
        <v>1250</v>
      </c>
      <c r="C16" s="98" t="s">
        <v>139</v>
      </c>
      <c r="D16" s="99">
        <f>4500-750</f>
        <v>3750</v>
      </c>
      <c r="E16" s="673"/>
      <c r="F16" s="100">
        <f t="shared" si="0"/>
        <v>0</v>
      </c>
    </row>
    <row r="17" spans="1:6" s="101" customFormat="1" ht="13.5" customHeight="1">
      <c r="A17" s="97">
        <v>9</v>
      </c>
      <c r="B17" s="98" t="s">
        <v>1251</v>
      </c>
      <c r="C17" s="98" t="s">
        <v>25</v>
      </c>
      <c r="D17" s="99">
        <f>140-30</f>
        <v>110</v>
      </c>
      <c r="E17" s="673"/>
      <c r="F17" s="100">
        <f t="shared" si="0"/>
        <v>0</v>
      </c>
    </row>
    <row r="18" spans="1:6" s="101" customFormat="1" ht="13.5" customHeight="1">
      <c r="A18" s="97">
        <v>10</v>
      </c>
      <c r="B18" s="98" t="s">
        <v>1252</v>
      </c>
      <c r="C18" s="98" t="s">
        <v>139</v>
      </c>
      <c r="D18" s="99">
        <f>120-20</f>
        <v>100</v>
      </c>
      <c r="E18" s="673"/>
      <c r="F18" s="100">
        <f t="shared" si="0"/>
        <v>0</v>
      </c>
    </row>
    <row r="19" spans="1:6" s="101" customFormat="1" ht="13.5" customHeight="1">
      <c r="A19" s="97">
        <v>11</v>
      </c>
      <c r="B19" s="98" t="s">
        <v>1253</v>
      </c>
      <c r="C19" s="98" t="s">
        <v>25</v>
      </c>
      <c r="D19" s="99">
        <f>30-4</f>
        <v>26</v>
      </c>
      <c r="E19" s="673"/>
      <c r="F19" s="100">
        <f t="shared" si="0"/>
        <v>0</v>
      </c>
    </row>
    <row r="20" spans="1:6" s="101" customFormat="1" ht="13.5" customHeight="1">
      <c r="A20" s="97">
        <v>12</v>
      </c>
      <c r="B20" s="98" t="s">
        <v>1254</v>
      </c>
      <c r="C20" s="98" t="s">
        <v>25</v>
      </c>
      <c r="D20" s="99">
        <v>2</v>
      </c>
      <c r="E20" s="673"/>
      <c r="F20" s="100">
        <f t="shared" si="0"/>
        <v>0</v>
      </c>
    </row>
    <row r="21" spans="1:6" s="101" customFormat="1" ht="13.5" customHeight="1">
      <c r="A21" s="97">
        <v>13</v>
      </c>
      <c r="B21" s="98" t="s">
        <v>1255</v>
      </c>
      <c r="C21" s="98" t="s">
        <v>25</v>
      </c>
      <c r="D21" s="99">
        <v>2</v>
      </c>
      <c r="E21" s="673"/>
      <c r="F21" s="100">
        <f t="shared" si="0"/>
        <v>0</v>
      </c>
    </row>
    <row r="22" spans="1:6" s="101" customFormat="1" ht="13.5" customHeight="1">
      <c r="A22" s="97">
        <v>14</v>
      </c>
      <c r="B22" s="98" t="s">
        <v>1256</v>
      </c>
      <c r="C22" s="98" t="s">
        <v>25</v>
      </c>
      <c r="D22" s="99">
        <v>2</v>
      </c>
      <c r="E22" s="673"/>
      <c r="F22" s="100">
        <f t="shared" si="0"/>
        <v>0</v>
      </c>
    </row>
    <row r="23" spans="1:6" s="101" customFormat="1" ht="13.5" customHeight="1">
      <c r="A23" s="97">
        <v>15</v>
      </c>
      <c r="B23" s="98" t="s">
        <v>1257</v>
      </c>
      <c r="C23" s="98" t="s">
        <v>25</v>
      </c>
      <c r="D23" s="99">
        <v>2</v>
      </c>
      <c r="E23" s="673"/>
      <c r="F23" s="100">
        <f t="shared" si="0"/>
        <v>0</v>
      </c>
    </row>
    <row r="24" spans="1:6" s="101" customFormat="1" ht="13.5" customHeight="1">
      <c r="A24" s="97">
        <v>16</v>
      </c>
      <c r="B24" s="98" t="s">
        <v>1258</v>
      </c>
      <c r="C24" s="98" t="s">
        <v>1143</v>
      </c>
      <c r="D24" s="99">
        <v>4</v>
      </c>
      <c r="E24" s="673"/>
      <c r="F24" s="100">
        <f t="shared" si="0"/>
        <v>0</v>
      </c>
    </row>
    <row r="25" spans="1:6" s="101" customFormat="1" ht="13.5" customHeight="1">
      <c r="A25" s="97">
        <v>17</v>
      </c>
      <c r="B25" s="98" t="s">
        <v>1259</v>
      </c>
      <c r="C25" s="98" t="s">
        <v>1143</v>
      </c>
      <c r="D25" s="99">
        <v>10</v>
      </c>
      <c r="E25" s="673"/>
      <c r="F25" s="100">
        <f t="shared" si="0"/>
        <v>0</v>
      </c>
    </row>
    <row r="26" spans="1:6" s="101" customFormat="1" ht="13.5" customHeight="1">
      <c r="A26" s="97">
        <v>18</v>
      </c>
      <c r="B26" s="98" t="s">
        <v>1260</v>
      </c>
      <c r="C26" s="98" t="s">
        <v>1143</v>
      </c>
      <c r="D26" s="99">
        <v>4</v>
      </c>
      <c r="E26" s="673"/>
      <c r="F26" s="100">
        <f t="shared" si="0"/>
        <v>0</v>
      </c>
    </row>
    <row r="27" spans="1:6" s="101" customFormat="1" ht="13.5" customHeight="1">
      <c r="A27" s="97">
        <v>19</v>
      </c>
      <c r="B27" s="98" t="s">
        <v>1261</v>
      </c>
      <c r="C27" s="98" t="s">
        <v>139</v>
      </c>
      <c r="D27" s="99">
        <f>4500-750</f>
        <v>3750</v>
      </c>
      <c r="E27" s="673"/>
      <c r="F27" s="100">
        <f t="shared" si="0"/>
        <v>0</v>
      </c>
    </row>
    <row r="28" spans="1:6" s="101" customFormat="1" ht="13.5" customHeight="1">
      <c r="A28" s="97">
        <v>20</v>
      </c>
      <c r="B28" s="98" t="s">
        <v>1262</v>
      </c>
      <c r="C28" s="98" t="s">
        <v>25</v>
      </c>
      <c r="D28" s="99">
        <v>2</v>
      </c>
      <c r="E28" s="673"/>
      <c r="F28" s="100">
        <f t="shared" si="0"/>
        <v>0</v>
      </c>
    </row>
    <row r="29" spans="1:6" ht="15">
      <c r="A29" s="83"/>
      <c r="B29" s="83"/>
      <c r="C29" s="83"/>
      <c r="D29" s="83"/>
      <c r="E29" s="83"/>
      <c r="F29" s="83"/>
    </row>
    <row r="30" spans="1:6" ht="15">
      <c r="A30" s="176" t="s">
        <v>860</v>
      </c>
      <c r="B30" s="130"/>
      <c r="C30" s="131"/>
      <c r="D30" s="132"/>
      <c r="E30" s="133"/>
      <c r="F30" s="134">
        <f>F8</f>
        <v>0</v>
      </c>
    </row>
  </sheetData>
  <sheetProtection sheet="1" objects="1" scenarios="1"/>
  <printOptions/>
  <pageMargins left="0.708333333333333" right="0.708333333333333" top="0.7875" bottom="0.7875" header="0.511805555555555" footer="0.511805555555555"/>
  <pageSetup fitToHeight="99" fitToWidth="1" horizontalDpi="300" verticalDpi="3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workbookViewId="0" topLeftCell="A1">
      <selection activeCell="F20" sqref="F20"/>
    </sheetView>
  </sheetViews>
  <sheetFormatPr defaultColWidth="8.57421875" defaultRowHeight="15"/>
  <cols>
    <col min="1" max="1" width="6.7109375" style="83" customWidth="1"/>
    <col min="2" max="2" width="64.7109375" style="83" customWidth="1"/>
    <col min="3" max="3" width="6.7109375" style="83" customWidth="1"/>
    <col min="4" max="4" width="8.7109375" style="83" customWidth="1"/>
    <col min="5" max="5" width="10.7109375" style="83" customWidth="1"/>
    <col min="6" max="6" width="13.7109375" style="83" customWidth="1"/>
    <col min="7" max="16384" width="8.57421875" style="83" customWidth="1"/>
  </cols>
  <sheetData>
    <row r="1" spans="1:8" ht="21">
      <c r="A1" s="74" t="s">
        <v>1453</v>
      </c>
      <c r="B1" s="75"/>
      <c r="C1" s="75"/>
      <c r="D1" s="75"/>
      <c r="E1" s="75"/>
      <c r="F1" s="75"/>
      <c r="G1" s="85"/>
      <c r="H1" s="75"/>
    </row>
    <row r="2" spans="1:6" ht="15">
      <c r="A2" s="76" t="s">
        <v>28</v>
      </c>
      <c r="B2" s="432"/>
      <c r="C2" s="432"/>
      <c r="D2" s="432"/>
      <c r="E2" s="431"/>
      <c r="F2" s="430"/>
    </row>
    <row r="3" spans="1:5" ht="15">
      <c r="A3" s="76" t="s">
        <v>24</v>
      </c>
      <c r="E3" s="84"/>
    </row>
    <row r="4" spans="1:5" ht="15">
      <c r="A4" s="76" t="s">
        <v>1242</v>
      </c>
      <c r="E4" s="84"/>
    </row>
    <row r="5" spans="1:5" ht="15">
      <c r="A5" s="76"/>
      <c r="E5" s="84"/>
    </row>
    <row r="6" spans="1:6" ht="21.6">
      <c r="A6" s="434" t="s">
        <v>30</v>
      </c>
      <c r="B6" s="435" t="s">
        <v>33</v>
      </c>
      <c r="C6" s="435" t="s">
        <v>34</v>
      </c>
      <c r="D6" s="435" t="s">
        <v>35</v>
      </c>
      <c r="E6" s="436" t="s">
        <v>36</v>
      </c>
      <c r="F6" s="435" t="s">
        <v>15</v>
      </c>
    </row>
    <row r="7" spans="1:6" ht="15">
      <c r="A7" s="434" t="s">
        <v>37</v>
      </c>
      <c r="B7" s="435" t="s">
        <v>40</v>
      </c>
      <c r="C7" s="435" t="s">
        <v>41</v>
      </c>
      <c r="D7" s="435" t="s">
        <v>42</v>
      </c>
      <c r="E7" s="436" t="s">
        <v>43</v>
      </c>
      <c r="F7" s="435">
        <v>8</v>
      </c>
    </row>
    <row r="8" spans="1:6" ht="15" customHeight="1">
      <c r="A8" s="441"/>
      <c r="B8" s="442" t="s">
        <v>18</v>
      </c>
      <c r="C8" s="442"/>
      <c r="D8" s="443"/>
      <c r="E8" s="444"/>
      <c r="F8" s="444">
        <f>SUM(F9:F13)</f>
        <v>0</v>
      </c>
    </row>
    <row r="9" spans="1:6" s="123" customFormat="1" ht="13.5" customHeight="1">
      <c r="A9" s="665">
        <v>8</v>
      </c>
      <c r="B9" s="666" t="s">
        <v>1250</v>
      </c>
      <c r="C9" s="666" t="s">
        <v>139</v>
      </c>
      <c r="D9" s="667">
        <v>750</v>
      </c>
      <c r="E9" s="672"/>
      <c r="F9" s="668">
        <f aca="true" t="shared" si="0" ref="F9:F13">D9*E9</f>
        <v>0</v>
      </c>
    </row>
    <row r="10" spans="1:6" s="123" customFormat="1" ht="13.5" customHeight="1">
      <c r="A10" s="665">
        <v>9</v>
      </c>
      <c r="B10" s="666" t="s">
        <v>1251</v>
      </c>
      <c r="C10" s="666" t="s">
        <v>25</v>
      </c>
      <c r="D10" s="667">
        <v>30</v>
      </c>
      <c r="E10" s="672"/>
      <c r="F10" s="668">
        <f t="shared" si="0"/>
        <v>0</v>
      </c>
    </row>
    <row r="11" spans="1:6" s="123" customFormat="1" ht="13.5" customHeight="1">
      <c r="A11" s="665">
        <v>10</v>
      </c>
      <c r="B11" s="666" t="s">
        <v>1252</v>
      </c>
      <c r="C11" s="666" t="s">
        <v>139</v>
      </c>
      <c r="D11" s="667">
        <v>20</v>
      </c>
      <c r="E11" s="672"/>
      <c r="F11" s="668">
        <f t="shared" si="0"/>
        <v>0</v>
      </c>
    </row>
    <row r="12" spans="1:6" s="123" customFormat="1" ht="13.5" customHeight="1">
      <c r="A12" s="665">
        <v>11</v>
      </c>
      <c r="B12" s="666" t="s">
        <v>1253</v>
      </c>
      <c r="C12" s="666" t="s">
        <v>25</v>
      </c>
      <c r="D12" s="667">
        <v>4</v>
      </c>
      <c r="E12" s="672"/>
      <c r="F12" s="668">
        <f t="shared" si="0"/>
        <v>0</v>
      </c>
    </row>
    <row r="13" spans="1:6" s="123" customFormat="1" ht="13.5" customHeight="1">
      <c r="A13" s="665">
        <v>19</v>
      </c>
      <c r="B13" s="666" t="s">
        <v>1261</v>
      </c>
      <c r="C13" s="666" t="s">
        <v>139</v>
      </c>
      <c r="D13" s="667">
        <v>750</v>
      </c>
      <c r="E13" s="672"/>
      <c r="F13" s="668">
        <f t="shared" si="0"/>
        <v>0</v>
      </c>
    </row>
    <row r="15" spans="1:6" ht="15">
      <c r="A15" s="656" t="s">
        <v>860</v>
      </c>
      <c r="B15" s="467"/>
      <c r="C15" s="468"/>
      <c r="D15" s="469"/>
      <c r="E15" s="470"/>
      <c r="F15" s="471">
        <f>F8</f>
        <v>0</v>
      </c>
    </row>
  </sheetData>
  <sheetProtection sheet="1" objects="1" scenarios="1"/>
  <printOptions/>
  <pageMargins left="0.708333333333333" right="0.708333333333333" top="0.7875" bottom="0.7875" header="0.511805555555555" footer="0.511805555555555"/>
  <pageSetup fitToHeight="99" fitToWidth="1" horizontalDpi="300" verticalDpi="3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9"/>
  <sheetViews>
    <sheetView workbookViewId="0" topLeftCell="A1">
      <selection activeCell="I37" sqref="I37"/>
    </sheetView>
  </sheetViews>
  <sheetFormatPr defaultColWidth="11.421875" defaultRowHeight="15"/>
  <cols>
    <col min="1" max="2" width="3.7109375" style="175" customWidth="1"/>
    <col min="3" max="3" width="13.28125" style="175" customWidth="1"/>
    <col min="4" max="4" width="71.421875" style="175" customWidth="1"/>
    <col min="5" max="5" width="4.28125" style="175" customWidth="1"/>
    <col min="6" max="6" width="10.8515625" style="175" customWidth="1"/>
    <col min="7" max="7" width="12.00390625" style="175" customWidth="1"/>
    <col min="8" max="9" width="13.140625" style="175" customWidth="1"/>
    <col min="10" max="10" width="13.28125" style="175" customWidth="1"/>
    <col min="11" max="12" width="11.7109375" style="175" customWidth="1"/>
    <col min="13" max="256" width="11.421875" style="175" customWidth="1"/>
    <col min="257" max="258" width="3.7109375" style="175" customWidth="1"/>
    <col min="259" max="259" width="13.28125" style="175" customWidth="1"/>
    <col min="260" max="260" width="34.140625" style="175" customWidth="1"/>
    <col min="261" max="261" width="4.28125" style="175" customWidth="1"/>
    <col min="262" max="262" width="10.8515625" style="175" customWidth="1"/>
    <col min="263" max="263" width="12.00390625" style="175" customWidth="1"/>
    <col min="264" max="265" width="13.140625" style="175" customWidth="1"/>
    <col min="266" max="266" width="13.28125" style="175" customWidth="1"/>
    <col min="267" max="268" width="11.7109375" style="175" customWidth="1"/>
    <col min="269" max="512" width="11.421875" style="175" customWidth="1"/>
    <col min="513" max="514" width="3.7109375" style="175" customWidth="1"/>
    <col min="515" max="515" width="13.28125" style="175" customWidth="1"/>
    <col min="516" max="516" width="34.140625" style="175" customWidth="1"/>
    <col min="517" max="517" width="4.28125" style="175" customWidth="1"/>
    <col min="518" max="518" width="10.8515625" style="175" customWidth="1"/>
    <col min="519" max="519" width="12.00390625" style="175" customWidth="1"/>
    <col min="520" max="521" width="13.140625" style="175" customWidth="1"/>
    <col min="522" max="522" width="13.28125" style="175" customWidth="1"/>
    <col min="523" max="524" width="11.7109375" style="175" customWidth="1"/>
    <col min="525" max="768" width="11.421875" style="175" customWidth="1"/>
    <col min="769" max="770" width="3.7109375" style="175" customWidth="1"/>
    <col min="771" max="771" width="13.28125" style="175" customWidth="1"/>
    <col min="772" max="772" width="34.140625" style="175" customWidth="1"/>
    <col min="773" max="773" width="4.28125" style="175" customWidth="1"/>
    <col min="774" max="774" width="10.8515625" style="175" customWidth="1"/>
    <col min="775" max="775" width="12.00390625" style="175" customWidth="1"/>
    <col min="776" max="777" width="13.140625" style="175" customWidth="1"/>
    <col min="778" max="778" width="13.28125" style="175" customWidth="1"/>
    <col min="779" max="780" width="11.7109375" style="175" customWidth="1"/>
    <col min="781" max="1024" width="11.421875" style="175" customWidth="1"/>
    <col min="1025" max="16384" width="11.421875" style="83" customWidth="1"/>
  </cols>
  <sheetData>
    <row r="1" spans="1:1024" ht="21">
      <c r="A1" s="74" t="s">
        <v>1453</v>
      </c>
      <c r="B1" s="75"/>
      <c r="C1" s="75"/>
      <c r="D1" s="75"/>
      <c r="E1" s="75"/>
      <c r="F1" s="75"/>
      <c r="G1" s="85"/>
      <c r="H1" s="75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  <c r="IW1" s="83"/>
      <c r="IX1" s="83"/>
      <c r="IY1" s="83"/>
      <c r="IZ1" s="83"/>
      <c r="JA1" s="83"/>
      <c r="JB1" s="83"/>
      <c r="JC1" s="83"/>
      <c r="JD1" s="83"/>
      <c r="JE1" s="83"/>
      <c r="JF1" s="83"/>
      <c r="JG1" s="83"/>
      <c r="JH1" s="83"/>
      <c r="JI1" s="83"/>
      <c r="JJ1" s="83"/>
      <c r="JK1" s="83"/>
      <c r="JL1" s="83"/>
      <c r="JM1" s="83"/>
      <c r="JN1" s="83"/>
      <c r="JO1" s="83"/>
      <c r="JP1" s="83"/>
      <c r="JQ1" s="83"/>
      <c r="JR1" s="83"/>
      <c r="JS1" s="83"/>
      <c r="JT1" s="83"/>
      <c r="JU1" s="83"/>
      <c r="JV1" s="83"/>
      <c r="JW1" s="83"/>
      <c r="JX1" s="83"/>
      <c r="JY1" s="83"/>
      <c r="JZ1" s="83"/>
      <c r="KA1" s="83"/>
      <c r="KB1" s="83"/>
      <c r="KC1" s="83"/>
      <c r="KD1" s="83"/>
      <c r="KE1" s="83"/>
      <c r="KF1" s="83"/>
      <c r="KG1" s="83"/>
      <c r="KH1" s="83"/>
      <c r="KI1" s="83"/>
      <c r="KJ1" s="83"/>
      <c r="KK1" s="83"/>
      <c r="KL1" s="83"/>
      <c r="KM1" s="83"/>
      <c r="KN1" s="83"/>
      <c r="KO1" s="83"/>
      <c r="KP1" s="83"/>
      <c r="KQ1" s="83"/>
      <c r="KR1" s="83"/>
      <c r="KS1" s="83"/>
      <c r="KT1" s="83"/>
      <c r="KU1" s="83"/>
      <c r="KV1" s="83"/>
      <c r="KW1" s="83"/>
      <c r="KX1" s="83"/>
      <c r="KY1" s="83"/>
      <c r="KZ1" s="83"/>
      <c r="LA1" s="83"/>
      <c r="LB1" s="83"/>
      <c r="LC1" s="83"/>
      <c r="LD1" s="83"/>
      <c r="LE1" s="83"/>
      <c r="LF1" s="83"/>
      <c r="LG1" s="83"/>
      <c r="LH1" s="83"/>
      <c r="LI1" s="83"/>
      <c r="LJ1" s="83"/>
      <c r="LK1" s="83"/>
      <c r="LL1" s="83"/>
      <c r="LM1" s="83"/>
      <c r="LN1" s="83"/>
      <c r="LO1" s="83"/>
      <c r="LP1" s="83"/>
      <c r="LQ1" s="83"/>
      <c r="LR1" s="83"/>
      <c r="LS1" s="83"/>
      <c r="LT1" s="83"/>
      <c r="LU1" s="83"/>
      <c r="LV1" s="83"/>
      <c r="LW1" s="83"/>
      <c r="LX1" s="83"/>
      <c r="LY1" s="83"/>
      <c r="LZ1" s="83"/>
      <c r="MA1" s="83"/>
      <c r="MB1" s="83"/>
      <c r="MC1" s="83"/>
      <c r="MD1" s="83"/>
      <c r="ME1" s="83"/>
      <c r="MF1" s="83"/>
      <c r="MG1" s="83"/>
      <c r="MH1" s="83"/>
      <c r="MI1" s="83"/>
      <c r="MJ1" s="83"/>
      <c r="MK1" s="83"/>
      <c r="ML1" s="83"/>
      <c r="MM1" s="83"/>
      <c r="MN1" s="83"/>
      <c r="MO1" s="83"/>
      <c r="MP1" s="83"/>
      <c r="MQ1" s="83"/>
      <c r="MR1" s="83"/>
      <c r="MS1" s="83"/>
      <c r="MT1" s="83"/>
      <c r="MU1" s="83"/>
      <c r="MV1" s="83"/>
      <c r="MW1" s="83"/>
      <c r="MX1" s="83"/>
      <c r="MY1" s="83"/>
      <c r="MZ1" s="83"/>
      <c r="NA1" s="83"/>
      <c r="NB1" s="83"/>
      <c r="NC1" s="83"/>
      <c r="ND1" s="83"/>
      <c r="NE1" s="83"/>
      <c r="NF1" s="83"/>
      <c r="NG1" s="83"/>
      <c r="NH1" s="83"/>
      <c r="NI1" s="83"/>
      <c r="NJ1" s="83"/>
      <c r="NK1" s="83"/>
      <c r="NL1" s="83"/>
      <c r="NM1" s="83"/>
      <c r="NN1" s="83"/>
      <c r="NO1" s="83"/>
      <c r="NP1" s="83"/>
      <c r="NQ1" s="83"/>
      <c r="NR1" s="83"/>
      <c r="NS1" s="83"/>
      <c r="NT1" s="83"/>
      <c r="NU1" s="83"/>
      <c r="NV1" s="83"/>
      <c r="NW1" s="83"/>
      <c r="NX1" s="83"/>
      <c r="NY1" s="83"/>
      <c r="NZ1" s="83"/>
      <c r="OA1" s="83"/>
      <c r="OB1" s="83"/>
      <c r="OC1" s="83"/>
      <c r="OD1" s="83"/>
      <c r="OE1" s="83"/>
      <c r="OF1" s="83"/>
      <c r="OG1" s="83"/>
      <c r="OH1" s="83"/>
      <c r="OI1" s="83"/>
      <c r="OJ1" s="83"/>
      <c r="OK1" s="83"/>
      <c r="OL1" s="83"/>
      <c r="OM1" s="83"/>
      <c r="ON1" s="83"/>
      <c r="OO1" s="83"/>
      <c r="OP1" s="83"/>
      <c r="OQ1" s="83"/>
      <c r="OR1" s="83"/>
      <c r="OS1" s="83"/>
      <c r="OT1" s="83"/>
      <c r="OU1" s="83"/>
      <c r="OV1" s="83"/>
      <c r="OW1" s="83"/>
      <c r="OX1" s="83"/>
      <c r="OY1" s="83"/>
      <c r="OZ1" s="83"/>
      <c r="PA1" s="83"/>
      <c r="PB1" s="83"/>
      <c r="PC1" s="83"/>
      <c r="PD1" s="83"/>
      <c r="PE1" s="83"/>
      <c r="PF1" s="83"/>
      <c r="PG1" s="83"/>
      <c r="PH1" s="83"/>
      <c r="PI1" s="83"/>
      <c r="PJ1" s="83"/>
      <c r="PK1" s="83"/>
      <c r="PL1" s="83"/>
      <c r="PM1" s="83"/>
      <c r="PN1" s="83"/>
      <c r="PO1" s="83"/>
      <c r="PP1" s="83"/>
      <c r="PQ1" s="83"/>
      <c r="PR1" s="83"/>
      <c r="PS1" s="83"/>
      <c r="PT1" s="83"/>
      <c r="PU1" s="83"/>
      <c r="PV1" s="83"/>
      <c r="PW1" s="83"/>
      <c r="PX1" s="83"/>
      <c r="PY1" s="83"/>
      <c r="PZ1" s="83"/>
      <c r="QA1" s="83"/>
      <c r="QB1" s="83"/>
      <c r="QC1" s="83"/>
      <c r="QD1" s="83"/>
      <c r="QE1" s="83"/>
      <c r="QF1" s="83"/>
      <c r="QG1" s="83"/>
      <c r="QH1" s="83"/>
      <c r="QI1" s="83"/>
      <c r="QJ1" s="83"/>
      <c r="QK1" s="83"/>
      <c r="QL1" s="83"/>
      <c r="QM1" s="83"/>
      <c r="QN1" s="83"/>
      <c r="QO1" s="83"/>
      <c r="QP1" s="83"/>
      <c r="QQ1" s="83"/>
      <c r="QR1" s="83"/>
      <c r="QS1" s="83"/>
      <c r="QT1" s="83"/>
      <c r="QU1" s="83"/>
      <c r="QV1" s="83"/>
      <c r="QW1" s="83"/>
      <c r="QX1" s="83"/>
      <c r="QY1" s="83"/>
      <c r="QZ1" s="83"/>
      <c r="RA1" s="83"/>
      <c r="RB1" s="83"/>
      <c r="RC1" s="83"/>
      <c r="RD1" s="83"/>
      <c r="RE1" s="83"/>
      <c r="RF1" s="83"/>
      <c r="RG1" s="83"/>
      <c r="RH1" s="83"/>
      <c r="RI1" s="83"/>
      <c r="RJ1" s="83"/>
      <c r="RK1" s="83"/>
      <c r="RL1" s="83"/>
      <c r="RM1" s="83"/>
      <c r="RN1" s="83"/>
      <c r="RO1" s="83"/>
      <c r="RP1" s="83"/>
      <c r="RQ1" s="83"/>
      <c r="RR1" s="83"/>
      <c r="RS1" s="83"/>
      <c r="RT1" s="83"/>
      <c r="RU1" s="83"/>
      <c r="RV1" s="83"/>
      <c r="RW1" s="83"/>
      <c r="RX1" s="83"/>
      <c r="RY1" s="83"/>
      <c r="RZ1" s="83"/>
      <c r="SA1" s="83"/>
      <c r="SB1" s="83"/>
      <c r="SC1" s="83"/>
      <c r="SD1" s="83"/>
      <c r="SE1" s="83"/>
      <c r="SF1" s="83"/>
      <c r="SG1" s="83"/>
      <c r="SH1" s="83"/>
      <c r="SI1" s="83"/>
      <c r="SJ1" s="83"/>
      <c r="SK1" s="83"/>
      <c r="SL1" s="83"/>
      <c r="SM1" s="83"/>
      <c r="SN1" s="83"/>
      <c r="SO1" s="83"/>
      <c r="SP1" s="83"/>
      <c r="SQ1" s="83"/>
      <c r="SR1" s="83"/>
      <c r="SS1" s="83"/>
      <c r="ST1" s="83"/>
      <c r="SU1" s="83"/>
      <c r="SV1" s="83"/>
      <c r="SW1" s="83"/>
      <c r="SX1" s="83"/>
      <c r="SY1" s="83"/>
      <c r="SZ1" s="83"/>
      <c r="TA1" s="83"/>
      <c r="TB1" s="83"/>
      <c r="TC1" s="83"/>
      <c r="TD1" s="83"/>
      <c r="TE1" s="83"/>
      <c r="TF1" s="83"/>
      <c r="TG1" s="83"/>
      <c r="TH1" s="83"/>
      <c r="TI1" s="83"/>
      <c r="TJ1" s="83"/>
      <c r="TK1" s="83"/>
      <c r="TL1" s="83"/>
      <c r="TM1" s="83"/>
      <c r="TN1" s="83"/>
      <c r="TO1" s="83"/>
      <c r="TP1" s="83"/>
      <c r="TQ1" s="83"/>
      <c r="TR1" s="83"/>
      <c r="TS1" s="83"/>
      <c r="TT1" s="83"/>
      <c r="TU1" s="83"/>
      <c r="TV1" s="83"/>
      <c r="TW1" s="83"/>
      <c r="TX1" s="83"/>
      <c r="TY1" s="83"/>
      <c r="TZ1" s="83"/>
      <c r="UA1" s="83"/>
      <c r="UB1" s="83"/>
      <c r="UC1" s="83"/>
      <c r="UD1" s="83"/>
      <c r="UE1" s="83"/>
      <c r="UF1" s="83"/>
      <c r="UG1" s="83"/>
      <c r="UH1" s="83"/>
      <c r="UI1" s="83"/>
      <c r="UJ1" s="83"/>
      <c r="UK1" s="83"/>
      <c r="UL1" s="83"/>
      <c r="UM1" s="83"/>
      <c r="UN1" s="83"/>
      <c r="UO1" s="83"/>
      <c r="UP1" s="83"/>
      <c r="UQ1" s="83"/>
      <c r="UR1" s="83"/>
      <c r="US1" s="83"/>
      <c r="UT1" s="83"/>
      <c r="UU1" s="83"/>
      <c r="UV1" s="83"/>
      <c r="UW1" s="83"/>
      <c r="UX1" s="83"/>
      <c r="UY1" s="83"/>
      <c r="UZ1" s="83"/>
      <c r="VA1" s="83"/>
      <c r="VB1" s="83"/>
      <c r="VC1" s="83"/>
      <c r="VD1" s="83"/>
      <c r="VE1" s="83"/>
      <c r="VF1" s="83"/>
      <c r="VG1" s="83"/>
      <c r="VH1" s="83"/>
      <c r="VI1" s="83"/>
      <c r="VJ1" s="83"/>
      <c r="VK1" s="83"/>
      <c r="VL1" s="83"/>
      <c r="VM1" s="83"/>
      <c r="VN1" s="83"/>
      <c r="VO1" s="83"/>
      <c r="VP1" s="83"/>
      <c r="VQ1" s="83"/>
      <c r="VR1" s="83"/>
      <c r="VS1" s="83"/>
      <c r="VT1" s="83"/>
      <c r="VU1" s="83"/>
      <c r="VV1" s="83"/>
      <c r="VW1" s="83"/>
      <c r="VX1" s="83"/>
      <c r="VY1" s="83"/>
      <c r="VZ1" s="83"/>
      <c r="WA1" s="83"/>
      <c r="WB1" s="83"/>
      <c r="WC1" s="83"/>
      <c r="WD1" s="83"/>
      <c r="WE1" s="83"/>
      <c r="WF1" s="83"/>
      <c r="WG1" s="83"/>
      <c r="WH1" s="83"/>
      <c r="WI1" s="83"/>
      <c r="WJ1" s="83"/>
      <c r="WK1" s="83"/>
      <c r="WL1" s="83"/>
      <c r="WM1" s="83"/>
      <c r="WN1" s="83"/>
      <c r="WO1" s="83"/>
      <c r="WP1" s="83"/>
      <c r="WQ1" s="83"/>
      <c r="WR1" s="83"/>
      <c r="WS1" s="83"/>
      <c r="WT1" s="83"/>
      <c r="WU1" s="83"/>
      <c r="WV1" s="83"/>
      <c r="WW1" s="83"/>
      <c r="WX1" s="83"/>
      <c r="WY1" s="83"/>
      <c r="WZ1" s="83"/>
      <c r="XA1" s="83"/>
      <c r="XB1" s="83"/>
      <c r="XC1" s="83"/>
      <c r="XD1" s="83"/>
      <c r="XE1" s="83"/>
      <c r="XF1" s="83"/>
      <c r="XG1" s="83"/>
      <c r="XH1" s="83"/>
      <c r="XI1" s="83"/>
      <c r="XJ1" s="83"/>
      <c r="XK1" s="83"/>
      <c r="XL1" s="83"/>
      <c r="XM1" s="83"/>
      <c r="XN1" s="83"/>
      <c r="XO1" s="83"/>
      <c r="XP1" s="83"/>
      <c r="XQ1" s="83"/>
      <c r="XR1" s="83"/>
      <c r="XS1" s="83"/>
      <c r="XT1" s="83"/>
      <c r="XU1" s="83"/>
      <c r="XV1" s="83"/>
      <c r="XW1" s="83"/>
      <c r="XX1" s="83"/>
      <c r="XY1" s="83"/>
      <c r="XZ1" s="83"/>
      <c r="YA1" s="83"/>
      <c r="YB1" s="83"/>
      <c r="YC1" s="83"/>
      <c r="YD1" s="83"/>
      <c r="YE1" s="83"/>
      <c r="YF1" s="83"/>
      <c r="YG1" s="83"/>
      <c r="YH1" s="83"/>
      <c r="YI1" s="83"/>
      <c r="YJ1" s="83"/>
      <c r="YK1" s="83"/>
      <c r="YL1" s="83"/>
      <c r="YM1" s="83"/>
      <c r="YN1" s="83"/>
      <c r="YO1" s="83"/>
      <c r="YP1" s="83"/>
      <c r="YQ1" s="83"/>
      <c r="YR1" s="83"/>
      <c r="YS1" s="83"/>
      <c r="YT1" s="83"/>
      <c r="YU1" s="83"/>
      <c r="YV1" s="83"/>
      <c r="YW1" s="83"/>
      <c r="YX1" s="83"/>
      <c r="YY1" s="83"/>
      <c r="YZ1" s="83"/>
      <c r="ZA1" s="83"/>
      <c r="ZB1" s="83"/>
      <c r="ZC1" s="83"/>
      <c r="ZD1" s="83"/>
      <c r="ZE1" s="83"/>
      <c r="ZF1" s="83"/>
      <c r="ZG1" s="83"/>
      <c r="ZH1" s="83"/>
      <c r="ZI1" s="83"/>
      <c r="ZJ1" s="83"/>
      <c r="ZK1" s="83"/>
      <c r="ZL1" s="83"/>
      <c r="ZM1" s="83"/>
      <c r="ZN1" s="83"/>
      <c r="ZO1" s="83"/>
      <c r="ZP1" s="83"/>
      <c r="ZQ1" s="83"/>
      <c r="ZR1" s="83"/>
      <c r="ZS1" s="83"/>
      <c r="ZT1" s="83"/>
      <c r="ZU1" s="83"/>
      <c r="ZV1" s="83"/>
      <c r="ZW1" s="83"/>
      <c r="ZX1" s="83"/>
      <c r="ZY1" s="83"/>
      <c r="ZZ1" s="83"/>
      <c r="AAA1" s="83"/>
      <c r="AAB1" s="83"/>
      <c r="AAC1" s="83"/>
      <c r="AAD1" s="83"/>
      <c r="AAE1" s="83"/>
      <c r="AAF1" s="83"/>
      <c r="AAG1" s="83"/>
      <c r="AAH1" s="83"/>
      <c r="AAI1" s="83"/>
      <c r="AAJ1" s="83"/>
      <c r="AAK1" s="83"/>
      <c r="AAL1" s="83"/>
      <c r="AAM1" s="83"/>
      <c r="AAN1" s="83"/>
      <c r="AAO1" s="83"/>
      <c r="AAP1" s="83"/>
      <c r="AAQ1" s="83"/>
      <c r="AAR1" s="83"/>
      <c r="AAS1" s="83"/>
      <c r="AAT1" s="83"/>
      <c r="AAU1" s="83"/>
      <c r="AAV1" s="83"/>
      <c r="AAW1" s="83"/>
      <c r="AAX1" s="83"/>
      <c r="AAY1" s="83"/>
      <c r="AAZ1" s="83"/>
      <c r="ABA1" s="83"/>
      <c r="ABB1" s="83"/>
      <c r="ABC1" s="83"/>
      <c r="ABD1" s="83"/>
      <c r="ABE1" s="83"/>
      <c r="ABF1" s="83"/>
      <c r="ABG1" s="83"/>
      <c r="ABH1" s="83"/>
      <c r="ABI1" s="83"/>
      <c r="ABJ1" s="83"/>
      <c r="ABK1" s="83"/>
      <c r="ABL1" s="83"/>
      <c r="ABM1" s="83"/>
      <c r="ABN1" s="83"/>
      <c r="ABO1" s="83"/>
      <c r="ABP1" s="83"/>
      <c r="ABQ1" s="83"/>
      <c r="ABR1" s="83"/>
      <c r="ABS1" s="83"/>
      <c r="ABT1" s="83"/>
      <c r="ABU1" s="83"/>
      <c r="ABV1" s="83"/>
      <c r="ABW1" s="83"/>
      <c r="ABX1" s="83"/>
      <c r="ABY1" s="83"/>
      <c r="ABZ1" s="83"/>
      <c r="ACA1" s="83"/>
      <c r="ACB1" s="83"/>
      <c r="ACC1" s="83"/>
      <c r="ACD1" s="83"/>
      <c r="ACE1" s="83"/>
      <c r="ACF1" s="83"/>
      <c r="ACG1" s="83"/>
      <c r="ACH1" s="83"/>
      <c r="ACI1" s="83"/>
      <c r="ACJ1" s="83"/>
      <c r="ACK1" s="83"/>
      <c r="ACL1" s="83"/>
      <c r="ACM1" s="83"/>
      <c r="ACN1" s="83"/>
      <c r="ACO1" s="83"/>
      <c r="ACP1" s="83"/>
      <c r="ACQ1" s="83"/>
      <c r="ACR1" s="83"/>
      <c r="ACS1" s="83"/>
      <c r="ACT1" s="83"/>
      <c r="ACU1" s="83"/>
      <c r="ACV1" s="83"/>
      <c r="ACW1" s="83"/>
      <c r="ACX1" s="83"/>
      <c r="ACY1" s="83"/>
      <c r="ACZ1" s="83"/>
      <c r="ADA1" s="83"/>
      <c r="ADB1" s="83"/>
      <c r="ADC1" s="83"/>
      <c r="ADD1" s="83"/>
      <c r="ADE1" s="83"/>
      <c r="ADF1" s="83"/>
      <c r="ADG1" s="83"/>
      <c r="ADH1" s="83"/>
      <c r="ADI1" s="83"/>
      <c r="ADJ1" s="83"/>
      <c r="ADK1" s="83"/>
      <c r="ADL1" s="83"/>
      <c r="ADM1" s="83"/>
      <c r="ADN1" s="83"/>
      <c r="ADO1" s="83"/>
      <c r="ADP1" s="83"/>
      <c r="ADQ1" s="83"/>
      <c r="ADR1" s="83"/>
      <c r="ADS1" s="83"/>
      <c r="ADT1" s="83"/>
      <c r="ADU1" s="83"/>
      <c r="ADV1" s="83"/>
      <c r="ADW1" s="83"/>
      <c r="ADX1" s="83"/>
      <c r="ADY1" s="83"/>
      <c r="ADZ1" s="83"/>
      <c r="AEA1" s="83"/>
      <c r="AEB1" s="83"/>
      <c r="AEC1" s="83"/>
      <c r="AED1" s="83"/>
      <c r="AEE1" s="83"/>
      <c r="AEF1" s="83"/>
      <c r="AEG1" s="83"/>
      <c r="AEH1" s="83"/>
      <c r="AEI1" s="83"/>
      <c r="AEJ1" s="83"/>
      <c r="AEK1" s="83"/>
      <c r="AEL1" s="83"/>
      <c r="AEM1" s="83"/>
      <c r="AEN1" s="83"/>
      <c r="AEO1" s="83"/>
      <c r="AEP1" s="83"/>
      <c r="AEQ1" s="83"/>
      <c r="AER1" s="83"/>
      <c r="AES1" s="83"/>
      <c r="AET1" s="83"/>
      <c r="AEU1" s="83"/>
      <c r="AEV1" s="83"/>
      <c r="AEW1" s="83"/>
      <c r="AEX1" s="83"/>
      <c r="AEY1" s="83"/>
      <c r="AEZ1" s="83"/>
      <c r="AFA1" s="83"/>
      <c r="AFB1" s="83"/>
      <c r="AFC1" s="83"/>
      <c r="AFD1" s="83"/>
      <c r="AFE1" s="83"/>
      <c r="AFF1" s="83"/>
      <c r="AFG1" s="83"/>
      <c r="AFH1" s="83"/>
      <c r="AFI1" s="83"/>
      <c r="AFJ1" s="83"/>
      <c r="AFK1" s="83"/>
      <c r="AFL1" s="83"/>
      <c r="AFM1" s="83"/>
      <c r="AFN1" s="83"/>
      <c r="AFO1" s="83"/>
      <c r="AFP1" s="83"/>
      <c r="AFQ1" s="83"/>
      <c r="AFR1" s="83"/>
      <c r="AFS1" s="83"/>
      <c r="AFT1" s="83"/>
      <c r="AFU1" s="83"/>
      <c r="AFV1" s="83"/>
      <c r="AFW1" s="83"/>
      <c r="AFX1" s="83"/>
      <c r="AFY1" s="83"/>
      <c r="AFZ1" s="83"/>
      <c r="AGA1" s="83"/>
      <c r="AGB1" s="83"/>
      <c r="AGC1" s="83"/>
      <c r="AGD1" s="83"/>
      <c r="AGE1" s="83"/>
      <c r="AGF1" s="83"/>
      <c r="AGG1" s="83"/>
      <c r="AGH1" s="83"/>
      <c r="AGI1" s="83"/>
      <c r="AGJ1" s="83"/>
      <c r="AGK1" s="83"/>
      <c r="AGL1" s="83"/>
      <c r="AGM1" s="83"/>
      <c r="AGN1" s="83"/>
      <c r="AGO1" s="83"/>
      <c r="AGP1" s="83"/>
      <c r="AGQ1" s="83"/>
      <c r="AGR1" s="83"/>
      <c r="AGS1" s="83"/>
      <c r="AGT1" s="83"/>
      <c r="AGU1" s="83"/>
      <c r="AGV1" s="83"/>
      <c r="AGW1" s="83"/>
      <c r="AGX1" s="83"/>
      <c r="AGY1" s="83"/>
      <c r="AGZ1" s="83"/>
      <c r="AHA1" s="83"/>
      <c r="AHB1" s="83"/>
      <c r="AHC1" s="83"/>
      <c r="AHD1" s="83"/>
      <c r="AHE1" s="83"/>
      <c r="AHF1" s="83"/>
      <c r="AHG1" s="83"/>
      <c r="AHH1" s="83"/>
      <c r="AHI1" s="83"/>
      <c r="AHJ1" s="83"/>
      <c r="AHK1" s="83"/>
      <c r="AHL1" s="83"/>
      <c r="AHM1" s="83"/>
      <c r="AHN1" s="83"/>
      <c r="AHO1" s="83"/>
      <c r="AHP1" s="83"/>
      <c r="AHQ1" s="83"/>
      <c r="AHR1" s="83"/>
      <c r="AHS1" s="83"/>
      <c r="AHT1" s="83"/>
      <c r="AHU1" s="83"/>
      <c r="AHV1" s="83"/>
      <c r="AHW1" s="83"/>
      <c r="AHX1" s="83"/>
      <c r="AHY1" s="83"/>
      <c r="AHZ1" s="83"/>
      <c r="AIA1" s="83"/>
      <c r="AIB1" s="83"/>
      <c r="AIC1" s="83"/>
      <c r="AID1" s="83"/>
      <c r="AIE1" s="83"/>
      <c r="AIF1" s="83"/>
      <c r="AIG1" s="83"/>
      <c r="AIH1" s="83"/>
      <c r="AII1" s="83"/>
      <c r="AIJ1" s="83"/>
      <c r="AIK1" s="83"/>
      <c r="AIL1" s="83"/>
      <c r="AIM1" s="83"/>
      <c r="AIN1" s="83"/>
      <c r="AIO1" s="83"/>
      <c r="AIP1" s="83"/>
      <c r="AIQ1" s="83"/>
      <c r="AIR1" s="83"/>
      <c r="AIS1" s="83"/>
      <c r="AIT1" s="83"/>
      <c r="AIU1" s="83"/>
      <c r="AIV1" s="83"/>
      <c r="AIW1" s="83"/>
      <c r="AIX1" s="83"/>
      <c r="AIY1" s="83"/>
      <c r="AIZ1" s="83"/>
      <c r="AJA1" s="83"/>
      <c r="AJB1" s="83"/>
      <c r="AJC1" s="83"/>
      <c r="AJD1" s="83"/>
      <c r="AJE1" s="83"/>
      <c r="AJF1" s="83"/>
      <c r="AJG1" s="83"/>
      <c r="AJH1" s="83"/>
      <c r="AJI1" s="83"/>
      <c r="AJJ1" s="83"/>
      <c r="AJK1" s="83"/>
      <c r="AJL1" s="83"/>
      <c r="AJM1" s="83"/>
      <c r="AJN1" s="83"/>
      <c r="AJO1" s="83"/>
      <c r="AJP1" s="83"/>
      <c r="AJQ1" s="83"/>
      <c r="AJR1" s="83"/>
      <c r="AJS1" s="83"/>
      <c r="AJT1" s="83"/>
      <c r="AJU1" s="83"/>
      <c r="AJV1" s="83"/>
      <c r="AJW1" s="83"/>
      <c r="AJX1" s="83"/>
      <c r="AJY1" s="83"/>
      <c r="AJZ1" s="83"/>
      <c r="AKA1" s="83"/>
      <c r="AKB1" s="83"/>
      <c r="AKC1" s="83"/>
      <c r="AKD1" s="83"/>
      <c r="AKE1" s="83"/>
      <c r="AKF1" s="83"/>
      <c r="AKG1" s="83"/>
      <c r="AKH1" s="83"/>
      <c r="AKI1" s="83"/>
      <c r="AKJ1" s="83"/>
      <c r="AKK1" s="83"/>
      <c r="AKL1" s="83"/>
      <c r="AKM1" s="83"/>
      <c r="AKN1" s="83"/>
      <c r="AKO1" s="83"/>
      <c r="AKP1" s="83"/>
      <c r="AKQ1" s="83"/>
      <c r="AKR1" s="83"/>
      <c r="AKS1" s="83"/>
      <c r="AKT1" s="83"/>
      <c r="AKU1" s="83"/>
      <c r="AKV1" s="83"/>
      <c r="AKW1" s="83"/>
      <c r="AKX1" s="83"/>
      <c r="AKY1" s="83"/>
      <c r="AKZ1" s="83"/>
      <c r="ALA1" s="83"/>
      <c r="ALB1" s="83"/>
      <c r="ALC1" s="83"/>
      <c r="ALD1" s="83"/>
      <c r="ALE1" s="83"/>
      <c r="ALF1" s="83"/>
      <c r="ALG1" s="83"/>
      <c r="ALH1" s="83"/>
      <c r="ALI1" s="83"/>
      <c r="ALJ1" s="83"/>
      <c r="ALK1" s="83"/>
      <c r="ALL1" s="83"/>
      <c r="ALM1" s="83"/>
      <c r="ALN1" s="83"/>
      <c r="ALO1" s="83"/>
      <c r="ALP1" s="83"/>
      <c r="ALQ1" s="83"/>
      <c r="ALR1" s="83"/>
      <c r="ALS1" s="83"/>
      <c r="ALT1" s="83"/>
      <c r="ALU1" s="83"/>
      <c r="ALV1" s="83"/>
      <c r="ALW1" s="83"/>
      <c r="ALX1" s="83"/>
      <c r="ALY1" s="83"/>
      <c r="ALZ1" s="83"/>
      <c r="AMA1" s="83"/>
      <c r="AMB1" s="83"/>
      <c r="AMC1" s="83"/>
      <c r="AMD1" s="83"/>
      <c r="AME1" s="83"/>
      <c r="AMF1" s="83"/>
      <c r="AMG1" s="83"/>
      <c r="AMH1" s="83"/>
      <c r="AMI1" s="83"/>
      <c r="AMJ1" s="83"/>
    </row>
    <row r="2" spans="1:8" ht="15">
      <c r="A2" s="76" t="s">
        <v>28</v>
      </c>
      <c r="B2" s="76"/>
      <c r="C2" s="77"/>
      <c r="D2" s="77"/>
      <c r="E2" s="77"/>
      <c r="F2" s="77"/>
      <c r="G2" s="85"/>
      <c r="H2" s="75"/>
    </row>
    <row r="3" spans="1:8" ht="15">
      <c r="A3" s="76" t="s">
        <v>24</v>
      </c>
      <c r="B3" s="78"/>
      <c r="C3" s="79"/>
      <c r="D3" s="80"/>
      <c r="E3" s="80"/>
      <c r="F3" s="80"/>
      <c r="G3" s="81"/>
      <c r="H3" s="80"/>
    </row>
    <row r="4" spans="1:8" ht="15">
      <c r="A4" s="76" t="s">
        <v>1115</v>
      </c>
      <c r="B4" s="78"/>
      <c r="C4" s="79"/>
      <c r="D4" s="80"/>
      <c r="E4" s="80"/>
      <c r="F4" s="80"/>
      <c r="G4" s="81"/>
      <c r="H4" s="80"/>
    </row>
    <row r="5" ht="15" thickBot="1"/>
    <row r="6" spans="1:13" s="254" customFormat="1" ht="13.2">
      <c r="A6" s="250" t="s">
        <v>1116</v>
      </c>
      <c r="B6" s="251" t="s">
        <v>1116</v>
      </c>
      <c r="C6" s="251" t="s">
        <v>1116</v>
      </c>
      <c r="D6" s="251" t="s">
        <v>1116</v>
      </c>
      <c r="E6" s="251" t="s">
        <v>1116</v>
      </c>
      <c r="F6" s="251" t="s">
        <v>1116</v>
      </c>
      <c r="G6" s="252" t="s">
        <v>1117</v>
      </c>
      <c r="H6" s="708" t="s">
        <v>1118</v>
      </c>
      <c r="I6" s="709"/>
      <c r="J6" s="710"/>
      <c r="K6" s="708" t="s">
        <v>1119</v>
      </c>
      <c r="L6" s="710"/>
      <c r="M6" s="253"/>
    </row>
    <row r="7" spans="1:13" s="254" customFormat="1" ht="13.8" thickBot="1">
      <c r="A7" s="255" t="s">
        <v>1120</v>
      </c>
      <c r="B7" s="256" t="s">
        <v>1121</v>
      </c>
      <c r="C7" s="256" t="s">
        <v>864</v>
      </c>
      <c r="D7" s="256" t="s">
        <v>1122</v>
      </c>
      <c r="E7" s="256" t="s">
        <v>1123</v>
      </c>
      <c r="F7" s="257" t="s">
        <v>865</v>
      </c>
      <c r="G7" s="258" t="s">
        <v>1124</v>
      </c>
      <c r="H7" s="259" t="s">
        <v>1125</v>
      </c>
      <c r="I7" s="260" t="s">
        <v>1126</v>
      </c>
      <c r="J7" s="261" t="s">
        <v>26</v>
      </c>
      <c r="K7" s="259" t="s">
        <v>1117</v>
      </c>
      <c r="L7" s="261" t="s">
        <v>26</v>
      </c>
      <c r="M7" s="253"/>
    </row>
    <row r="8" spans="1:12" s="254" customFormat="1" ht="13.2">
      <c r="A8" s="262"/>
      <c r="B8" s="262"/>
      <c r="C8" s="428"/>
      <c r="D8" s="711" t="s">
        <v>1366</v>
      </c>
      <c r="E8" s="712"/>
      <c r="F8" s="712"/>
      <c r="G8" s="712"/>
      <c r="H8" s="263">
        <f>H9+H17</f>
        <v>0</v>
      </c>
      <c r="I8" s="263">
        <f>I9+I17</f>
        <v>0</v>
      </c>
      <c r="J8" s="263">
        <f aca="true" t="shared" si="0" ref="J8:J28">H8+I8</f>
        <v>0</v>
      </c>
      <c r="K8" s="264"/>
      <c r="L8" s="263">
        <f>L9+L17</f>
        <v>0</v>
      </c>
    </row>
    <row r="9" spans="1:12" s="254" customFormat="1" ht="13.2">
      <c r="A9" s="265"/>
      <c r="B9" s="265"/>
      <c r="C9" s="429" t="s">
        <v>1127</v>
      </c>
      <c r="D9" s="713" t="s">
        <v>1128</v>
      </c>
      <c r="E9" s="714"/>
      <c r="F9" s="714"/>
      <c r="G9" s="714"/>
      <c r="H9" s="266">
        <f>SUM(H10:H16)</f>
        <v>0</v>
      </c>
      <c r="I9" s="266">
        <f>SUM(I10:I16)</f>
        <v>0</v>
      </c>
      <c r="J9" s="266">
        <f t="shared" si="0"/>
        <v>0</v>
      </c>
      <c r="K9" s="267"/>
      <c r="L9" s="266">
        <f>SUM(L10:L16)</f>
        <v>0</v>
      </c>
    </row>
    <row r="10" spans="1:12" s="254" customFormat="1" ht="13.2">
      <c r="A10" s="268" t="s">
        <v>37</v>
      </c>
      <c r="B10" s="268" t="s">
        <v>1132</v>
      </c>
      <c r="C10" s="268" t="s">
        <v>1215</v>
      </c>
      <c r="D10" s="268" t="s">
        <v>1216</v>
      </c>
      <c r="E10" s="268" t="s">
        <v>25</v>
      </c>
      <c r="F10" s="269">
        <v>4</v>
      </c>
      <c r="G10" s="670"/>
      <c r="H10" s="269">
        <f>F10*G10*0.925946651744078</f>
        <v>0</v>
      </c>
      <c r="I10" s="269">
        <f>F10*G10*(1-0.925946651744078)</f>
        <v>0</v>
      </c>
      <c r="J10" s="269">
        <f t="shared" si="0"/>
        <v>0</v>
      </c>
      <c r="K10" s="269">
        <v>0</v>
      </c>
      <c r="L10" s="269">
        <f aca="true" t="shared" si="1" ref="L10:L16">F10*K10</f>
        <v>0</v>
      </c>
    </row>
    <row r="11" spans="1:12" s="254" customFormat="1" ht="13.2">
      <c r="A11" s="268" t="s">
        <v>38</v>
      </c>
      <c r="B11" s="268" t="s">
        <v>1132</v>
      </c>
      <c r="C11" s="268" t="s">
        <v>1217</v>
      </c>
      <c r="D11" s="268" t="s">
        <v>1218</v>
      </c>
      <c r="E11" s="268" t="s">
        <v>25</v>
      </c>
      <c r="F11" s="269">
        <v>1</v>
      </c>
      <c r="G11" s="670"/>
      <c r="H11" s="269">
        <f>F11*G11*0.955467407064858</f>
        <v>0</v>
      </c>
      <c r="I11" s="269">
        <f>F11*G11*(1-0.955467407064858)</f>
        <v>0</v>
      </c>
      <c r="J11" s="269">
        <f t="shared" si="0"/>
        <v>0</v>
      </c>
      <c r="K11" s="269">
        <v>0</v>
      </c>
      <c r="L11" s="269">
        <f t="shared" si="1"/>
        <v>0</v>
      </c>
    </row>
    <row r="12" spans="1:12" s="254" customFormat="1" ht="13.2">
      <c r="A12" s="268" t="s">
        <v>39</v>
      </c>
      <c r="B12" s="268" t="s">
        <v>1132</v>
      </c>
      <c r="C12" s="268" t="s">
        <v>1219</v>
      </c>
      <c r="D12" s="268" t="s">
        <v>1220</v>
      </c>
      <c r="E12" s="268" t="s">
        <v>25</v>
      </c>
      <c r="F12" s="269">
        <v>1</v>
      </c>
      <c r="G12" s="670"/>
      <c r="H12" s="269">
        <f>F12*G12*0.943409254564645</f>
        <v>0</v>
      </c>
      <c r="I12" s="269">
        <f>F12*G12*(1-0.943409254564645)</f>
        <v>0</v>
      </c>
      <c r="J12" s="269">
        <f t="shared" si="0"/>
        <v>0</v>
      </c>
      <c r="K12" s="269">
        <v>0</v>
      </c>
      <c r="L12" s="269">
        <f t="shared" si="1"/>
        <v>0</v>
      </c>
    </row>
    <row r="13" spans="1:12" s="254" customFormat="1" ht="13.2">
      <c r="A13" s="268" t="s">
        <v>40</v>
      </c>
      <c r="B13" s="268" t="s">
        <v>1132</v>
      </c>
      <c r="C13" s="268" t="s">
        <v>1221</v>
      </c>
      <c r="D13" s="268" t="s">
        <v>1222</v>
      </c>
      <c r="E13" s="268" t="s">
        <v>25</v>
      </c>
      <c r="F13" s="269">
        <v>5</v>
      </c>
      <c r="G13" s="670"/>
      <c r="H13" s="269">
        <f>F13*G13*0.753499425215182</f>
        <v>0</v>
      </c>
      <c r="I13" s="269">
        <f>F13*G13*(1-0.753499425215182)</f>
        <v>0</v>
      </c>
      <c r="J13" s="269">
        <f t="shared" si="0"/>
        <v>0</v>
      </c>
      <c r="K13" s="269">
        <v>0</v>
      </c>
      <c r="L13" s="269">
        <f t="shared" si="1"/>
        <v>0</v>
      </c>
    </row>
    <row r="14" spans="1:12" s="254" customFormat="1" ht="13.2">
      <c r="A14" s="268" t="s">
        <v>41</v>
      </c>
      <c r="B14" s="268" t="s">
        <v>1132</v>
      </c>
      <c r="C14" s="268" t="s">
        <v>1223</v>
      </c>
      <c r="D14" s="268" t="s">
        <v>1224</v>
      </c>
      <c r="E14" s="268" t="s">
        <v>25</v>
      </c>
      <c r="F14" s="269">
        <v>1</v>
      </c>
      <c r="G14" s="670"/>
      <c r="H14" s="269">
        <f>F14*G14*0.786557674841054</f>
        <v>0</v>
      </c>
      <c r="I14" s="269">
        <f>F14*G14*(1-0.786557674841054)</f>
        <v>0</v>
      </c>
      <c r="J14" s="269">
        <f t="shared" si="0"/>
        <v>0</v>
      </c>
      <c r="K14" s="269">
        <v>0</v>
      </c>
      <c r="L14" s="269">
        <f t="shared" si="1"/>
        <v>0</v>
      </c>
    </row>
    <row r="15" spans="1:12" s="254" customFormat="1" ht="13.2">
      <c r="A15" s="268" t="s">
        <v>42</v>
      </c>
      <c r="B15" s="268" t="s">
        <v>1132</v>
      </c>
      <c r="C15" s="268" t="s">
        <v>1185</v>
      </c>
      <c r="D15" s="268" t="s">
        <v>1207</v>
      </c>
      <c r="E15" s="268" t="s">
        <v>25</v>
      </c>
      <c r="F15" s="269">
        <v>12</v>
      </c>
      <c r="G15" s="670"/>
      <c r="H15" s="269">
        <f>F15*G15*0.550189509720015</f>
        <v>0</v>
      </c>
      <c r="I15" s="269">
        <f>F15*G15*(1-0.550189509720015)</f>
        <v>0</v>
      </c>
      <c r="J15" s="269">
        <f t="shared" si="0"/>
        <v>0</v>
      </c>
      <c r="K15" s="269">
        <v>0</v>
      </c>
      <c r="L15" s="269">
        <f t="shared" si="1"/>
        <v>0</v>
      </c>
    </row>
    <row r="16" spans="1:12" s="254" customFormat="1" ht="13.2">
      <c r="A16" s="268" t="s">
        <v>43</v>
      </c>
      <c r="B16" s="268" t="s">
        <v>1132</v>
      </c>
      <c r="C16" s="268" t="s">
        <v>1208</v>
      </c>
      <c r="D16" s="268" t="s">
        <v>1367</v>
      </c>
      <c r="E16" s="268" t="s">
        <v>139</v>
      </c>
      <c r="F16" s="269">
        <v>5</v>
      </c>
      <c r="G16" s="670"/>
      <c r="H16" s="269">
        <f>F16*G16*0.606060606060606</f>
        <v>0</v>
      </c>
      <c r="I16" s="269">
        <f>F16*G16*(1-0.606060606060606)</f>
        <v>0</v>
      </c>
      <c r="J16" s="269">
        <f t="shared" si="0"/>
        <v>0</v>
      </c>
      <c r="K16" s="269">
        <v>0</v>
      </c>
      <c r="L16" s="269">
        <f t="shared" si="1"/>
        <v>0</v>
      </c>
    </row>
    <row r="17" spans="1:12" s="254" customFormat="1" ht="13.2">
      <c r="A17" s="265"/>
      <c r="B17" s="265"/>
      <c r="C17" s="429" t="s">
        <v>1191</v>
      </c>
      <c r="D17" s="713" t="s">
        <v>1192</v>
      </c>
      <c r="E17" s="714"/>
      <c r="F17" s="714"/>
      <c r="G17" s="714"/>
      <c r="H17" s="266">
        <f>SUM(H18:H20)</f>
        <v>0</v>
      </c>
      <c r="I17" s="266">
        <f>SUM(I18:I20)</f>
        <v>0</v>
      </c>
      <c r="J17" s="266">
        <f t="shared" si="0"/>
        <v>0</v>
      </c>
      <c r="K17" s="267"/>
      <c r="L17" s="266">
        <f>SUM(L18:L20)</f>
        <v>0</v>
      </c>
    </row>
    <row r="18" spans="1:12" s="254" customFormat="1" ht="13.2">
      <c r="A18" s="268" t="s">
        <v>906</v>
      </c>
      <c r="B18" s="268" t="s">
        <v>1132</v>
      </c>
      <c r="C18" s="268" t="s">
        <v>1193</v>
      </c>
      <c r="D18" s="268" t="s">
        <v>1194</v>
      </c>
      <c r="E18" s="268" t="s">
        <v>1182</v>
      </c>
      <c r="F18" s="269">
        <v>1</v>
      </c>
      <c r="G18" s="670"/>
      <c r="H18" s="269">
        <f>F18*G18*0.801699716713881</f>
        <v>0</v>
      </c>
      <c r="I18" s="269">
        <f>F18*G18*(1-0.801699716713881)</f>
        <v>0</v>
      </c>
      <c r="J18" s="269">
        <f t="shared" si="0"/>
        <v>0</v>
      </c>
      <c r="K18" s="269">
        <v>0</v>
      </c>
      <c r="L18" s="269">
        <f>F18*K18</f>
        <v>0</v>
      </c>
    </row>
    <row r="19" spans="1:12" s="254" customFormat="1" ht="13.2">
      <c r="A19" s="268" t="s">
        <v>910</v>
      </c>
      <c r="B19" s="268" t="s">
        <v>1132</v>
      </c>
      <c r="C19" s="268" t="s">
        <v>1225</v>
      </c>
      <c r="D19" s="268" t="s">
        <v>1368</v>
      </c>
      <c r="E19" s="268" t="s">
        <v>1182</v>
      </c>
      <c r="F19" s="269">
        <v>3</v>
      </c>
      <c r="G19" s="670"/>
      <c r="H19" s="269">
        <f>F19*G19*0.875</f>
        <v>0</v>
      </c>
      <c r="I19" s="269">
        <f>F19*G19*(1-0.875)</f>
        <v>0</v>
      </c>
      <c r="J19" s="269">
        <f t="shared" si="0"/>
        <v>0</v>
      </c>
      <c r="K19" s="269">
        <v>0</v>
      </c>
      <c r="L19" s="269">
        <f>F19*K19</f>
        <v>0</v>
      </c>
    </row>
    <row r="20" spans="1:12" s="254" customFormat="1" ht="13.2">
      <c r="A20" s="268" t="s">
        <v>914</v>
      </c>
      <c r="B20" s="268" t="s">
        <v>1132</v>
      </c>
      <c r="C20" s="268" t="s">
        <v>1225</v>
      </c>
      <c r="D20" s="268" t="s">
        <v>1368</v>
      </c>
      <c r="E20" s="268" t="s">
        <v>1182</v>
      </c>
      <c r="F20" s="269">
        <v>3</v>
      </c>
      <c r="G20" s="670"/>
      <c r="H20" s="269">
        <f>F20*G20*0.875</f>
        <v>0</v>
      </c>
      <c r="I20" s="269">
        <f>F20*G20*(1-0.875)</f>
        <v>0</v>
      </c>
      <c r="J20" s="269">
        <f t="shared" si="0"/>
        <v>0</v>
      </c>
      <c r="K20" s="269">
        <v>0</v>
      </c>
      <c r="L20" s="269">
        <f>F20*K20</f>
        <v>0</v>
      </c>
    </row>
    <row r="21" spans="1:12" s="254" customFormat="1" ht="13.2">
      <c r="A21" s="265"/>
      <c r="B21" s="265"/>
      <c r="C21" s="429"/>
      <c r="D21" s="713" t="s">
        <v>1226</v>
      </c>
      <c r="E21" s="714"/>
      <c r="F21" s="714"/>
      <c r="G21" s="714"/>
      <c r="H21" s="266">
        <f>H22</f>
        <v>0</v>
      </c>
      <c r="I21" s="266">
        <f>I22</f>
        <v>0</v>
      </c>
      <c r="J21" s="266">
        <f t="shared" si="0"/>
        <v>0</v>
      </c>
      <c r="K21" s="267"/>
      <c r="L21" s="266">
        <f>L22</f>
        <v>0</v>
      </c>
    </row>
    <row r="22" spans="1:12" s="254" customFormat="1" ht="13.2">
      <c r="A22" s="265"/>
      <c r="B22" s="265"/>
      <c r="C22" s="429" t="s">
        <v>1227</v>
      </c>
      <c r="D22" s="713" t="s">
        <v>1228</v>
      </c>
      <c r="E22" s="714"/>
      <c r="F22" s="714"/>
      <c r="G22" s="714"/>
      <c r="H22" s="266">
        <f>SUM(H23:H28)</f>
        <v>0</v>
      </c>
      <c r="I22" s="266">
        <f>SUM(I23:I28)</f>
        <v>0</v>
      </c>
      <c r="J22" s="266">
        <f t="shared" si="0"/>
        <v>0</v>
      </c>
      <c r="K22" s="267"/>
      <c r="L22" s="266">
        <f>SUM(L23:L28)</f>
        <v>0</v>
      </c>
    </row>
    <row r="23" spans="1:12" s="254" customFormat="1" ht="13.2">
      <c r="A23" s="268" t="s">
        <v>918</v>
      </c>
      <c r="B23" s="268" t="s">
        <v>1206</v>
      </c>
      <c r="C23" s="268" t="s">
        <v>1231</v>
      </c>
      <c r="D23" s="268" t="s">
        <v>1232</v>
      </c>
      <c r="E23" s="268" t="s">
        <v>1182</v>
      </c>
      <c r="F23" s="269">
        <v>2</v>
      </c>
      <c r="G23" s="670"/>
      <c r="H23" s="269">
        <f>F23*G23*0.803921568627451</f>
        <v>0</v>
      </c>
      <c r="I23" s="269">
        <f>F23*G23*(1-0.803921568627451)</f>
        <v>0</v>
      </c>
      <c r="J23" s="269">
        <f t="shared" si="0"/>
        <v>0</v>
      </c>
      <c r="K23" s="269">
        <v>0</v>
      </c>
      <c r="L23" s="269">
        <f aca="true" t="shared" si="2" ref="L23:L28">F23*K23</f>
        <v>0</v>
      </c>
    </row>
    <row r="24" spans="1:12" s="254" customFormat="1" ht="13.2">
      <c r="A24" s="268" t="s">
        <v>922</v>
      </c>
      <c r="B24" s="268" t="s">
        <v>1206</v>
      </c>
      <c r="C24" s="268" t="s">
        <v>1229</v>
      </c>
      <c r="D24" s="268" t="s">
        <v>1230</v>
      </c>
      <c r="E24" s="268" t="s">
        <v>1182</v>
      </c>
      <c r="F24" s="269">
        <v>5</v>
      </c>
      <c r="G24" s="670"/>
      <c r="H24" s="269">
        <f>F24*G24*0.928057553956835</f>
        <v>0</v>
      </c>
      <c r="I24" s="269">
        <f>F24*G24*(1-0.928057553956835)</f>
        <v>0</v>
      </c>
      <c r="J24" s="269">
        <f t="shared" si="0"/>
        <v>0</v>
      </c>
      <c r="K24" s="269">
        <v>0</v>
      </c>
      <c r="L24" s="269">
        <f t="shared" si="2"/>
        <v>0</v>
      </c>
    </row>
    <row r="25" spans="1:12" s="254" customFormat="1" ht="13.2">
      <c r="A25" s="268" t="s">
        <v>926</v>
      </c>
      <c r="B25" s="268" t="s">
        <v>1206</v>
      </c>
      <c r="C25" s="268" t="s">
        <v>1233</v>
      </c>
      <c r="D25" s="268" t="s">
        <v>1234</v>
      </c>
      <c r="E25" s="268" t="s">
        <v>1182</v>
      </c>
      <c r="F25" s="269">
        <v>4</v>
      </c>
      <c r="G25" s="670"/>
      <c r="H25" s="269">
        <f>F25*G25*0.795800880460549</f>
        <v>0</v>
      </c>
      <c r="I25" s="269">
        <f>F25*G25*(1-0.795800880460549)</f>
        <v>0</v>
      </c>
      <c r="J25" s="269">
        <f t="shared" si="0"/>
        <v>0</v>
      </c>
      <c r="K25" s="269">
        <v>0</v>
      </c>
      <c r="L25" s="269">
        <f t="shared" si="2"/>
        <v>0</v>
      </c>
    </row>
    <row r="26" spans="1:12" s="254" customFormat="1" ht="13.2">
      <c r="A26" s="268" t="s">
        <v>930</v>
      </c>
      <c r="B26" s="268" t="s">
        <v>1206</v>
      </c>
      <c r="C26" s="268" t="s">
        <v>1235</v>
      </c>
      <c r="D26" s="268" t="s">
        <v>1236</v>
      </c>
      <c r="E26" s="268" t="s">
        <v>1143</v>
      </c>
      <c r="F26" s="269">
        <v>24</v>
      </c>
      <c r="G26" s="670"/>
      <c r="H26" s="269">
        <f>F26*G26*0</f>
        <v>0</v>
      </c>
      <c r="I26" s="269">
        <f>F26*G26*(1-0)</f>
        <v>0</v>
      </c>
      <c r="J26" s="269">
        <f t="shared" si="0"/>
        <v>0</v>
      </c>
      <c r="K26" s="269">
        <v>0</v>
      </c>
      <c r="L26" s="269">
        <f t="shared" si="2"/>
        <v>0</v>
      </c>
    </row>
    <row r="27" spans="1:12" s="254" customFormat="1" ht="13.2">
      <c r="A27" s="268" t="s">
        <v>934</v>
      </c>
      <c r="B27" s="268" t="s">
        <v>1206</v>
      </c>
      <c r="C27" s="268" t="s">
        <v>1237</v>
      </c>
      <c r="D27" s="268" t="s">
        <v>1238</v>
      </c>
      <c r="E27" s="268" t="s">
        <v>1182</v>
      </c>
      <c r="F27" s="269">
        <v>4</v>
      </c>
      <c r="G27" s="670"/>
      <c r="H27" s="269">
        <f>F27*G27*0.767964071856287</f>
        <v>0</v>
      </c>
      <c r="I27" s="269">
        <f>F27*G27*(1-0.767964071856287)</f>
        <v>0</v>
      </c>
      <c r="J27" s="269">
        <f t="shared" si="0"/>
        <v>0</v>
      </c>
      <c r="K27" s="269">
        <v>0</v>
      </c>
      <c r="L27" s="269">
        <f t="shared" si="2"/>
        <v>0</v>
      </c>
    </row>
    <row r="28" spans="1:12" s="254" customFormat="1" ht="13.2">
      <c r="A28" s="270" t="s">
        <v>886</v>
      </c>
      <c r="B28" s="270" t="s">
        <v>1206</v>
      </c>
      <c r="C28" s="270" t="s">
        <v>1239</v>
      </c>
      <c r="D28" s="270" t="s">
        <v>1240</v>
      </c>
      <c r="E28" s="270" t="s">
        <v>1182</v>
      </c>
      <c r="F28" s="271">
        <v>1</v>
      </c>
      <c r="G28" s="671"/>
      <c r="H28" s="271">
        <f>F28*G28*0.904458598726115</f>
        <v>0</v>
      </c>
      <c r="I28" s="271">
        <f>F28*G28*(1-0.904458598726115)</f>
        <v>0</v>
      </c>
      <c r="J28" s="271">
        <f t="shared" si="0"/>
        <v>0</v>
      </c>
      <c r="K28" s="271">
        <v>0</v>
      </c>
      <c r="L28" s="271">
        <f t="shared" si="2"/>
        <v>0</v>
      </c>
    </row>
    <row r="29" spans="1:12" s="254" customFormat="1" ht="13.2">
      <c r="A29" s="272"/>
      <c r="B29" s="272"/>
      <c r="C29" s="272"/>
      <c r="D29" s="272"/>
      <c r="E29" s="272"/>
      <c r="F29" s="272"/>
      <c r="G29" s="272"/>
      <c r="H29" s="715" t="s">
        <v>1241</v>
      </c>
      <c r="I29" s="716"/>
      <c r="J29" s="273">
        <f>J9+J17+J22</f>
        <v>0</v>
      </c>
      <c r="K29" s="272"/>
      <c r="L29" s="272"/>
    </row>
  </sheetData>
  <sheetProtection sheet="1" objects="1" scenarios="1"/>
  <mergeCells count="8">
    <mergeCell ref="D22:G22"/>
    <mergeCell ref="H29:I29"/>
    <mergeCell ref="H6:J6"/>
    <mergeCell ref="K6:L6"/>
    <mergeCell ref="D8:G8"/>
    <mergeCell ref="D9:G9"/>
    <mergeCell ref="D17:G17"/>
    <mergeCell ref="D21:G21"/>
  </mergeCells>
  <printOptions/>
  <pageMargins left="0.7875" right="0.7875" top="0.984027777777778" bottom="0.984027777777778" header="0.511805555555555" footer="0.511805555555555"/>
  <pageSetup fitToHeight="99" fitToWidth="1" horizontalDpi="300" verticalDpi="3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 topLeftCell="A1">
      <selection activeCell="F10" sqref="F10"/>
    </sheetView>
  </sheetViews>
  <sheetFormatPr defaultColWidth="8.57421875" defaultRowHeight="15"/>
  <cols>
    <col min="1" max="1" width="3.7109375" style="83" customWidth="1"/>
    <col min="2" max="2" width="11.7109375" style="83" customWidth="1"/>
    <col min="3" max="3" width="40.7109375" style="83" customWidth="1"/>
    <col min="4" max="4" width="10.7109375" style="83" customWidth="1"/>
    <col min="5" max="6" width="13.7109375" style="83" customWidth="1"/>
    <col min="7" max="7" width="16.7109375" style="83" customWidth="1"/>
    <col min="8" max="16384" width="8.57421875" style="83" customWidth="1"/>
  </cols>
  <sheetData>
    <row r="1" spans="1:8" ht="21">
      <c r="A1" s="74" t="s">
        <v>1453</v>
      </c>
      <c r="B1" s="75"/>
      <c r="C1" s="75"/>
      <c r="D1" s="75"/>
      <c r="E1" s="75"/>
      <c r="F1" s="75"/>
      <c r="G1" s="85"/>
      <c r="H1" s="75"/>
    </row>
    <row r="2" spans="1:8" ht="15">
      <c r="A2" s="76" t="s">
        <v>1400</v>
      </c>
      <c r="B2" s="76"/>
      <c r="C2" s="432"/>
      <c r="D2" s="432"/>
      <c r="E2" s="432"/>
      <c r="F2" s="432"/>
      <c r="G2" s="430"/>
      <c r="H2" s="430"/>
    </row>
    <row r="3" spans="1:3" ht="15">
      <c r="A3" s="76" t="s">
        <v>24</v>
      </c>
      <c r="B3" s="78"/>
      <c r="C3" s="433"/>
    </row>
    <row r="4" spans="1:7" ht="15">
      <c r="A4" s="76" t="s">
        <v>1401</v>
      </c>
      <c r="B4" s="78"/>
      <c r="C4" s="433"/>
      <c r="G4" s="84"/>
    </row>
    <row r="5" s="479" customFormat="1" ht="13.2"/>
    <row r="6" spans="1:7" s="479" customFormat="1" ht="24.9" customHeight="1">
      <c r="A6" s="480"/>
      <c r="B6" s="481"/>
      <c r="C6" s="482" t="s">
        <v>1402</v>
      </c>
      <c r="D6" s="726" t="s">
        <v>1403</v>
      </c>
      <c r="E6" s="726"/>
      <c r="F6" s="726"/>
      <c r="G6" s="726"/>
    </row>
    <row r="7" spans="1:7" s="479" customFormat="1" ht="67.5" customHeight="1">
      <c r="A7" s="483">
        <v>1</v>
      </c>
      <c r="B7" s="484"/>
      <c r="C7" s="485" t="s">
        <v>1420</v>
      </c>
      <c r="D7" s="486" t="s">
        <v>25</v>
      </c>
      <c r="E7" s="487">
        <v>1</v>
      </c>
      <c r="F7" s="669"/>
      <c r="G7" s="487">
        <f aca="true" t="shared" si="0" ref="G7:G13">F7*E7</f>
        <v>0</v>
      </c>
    </row>
    <row r="8" spans="1:7" s="479" customFormat="1" ht="27" customHeight="1">
      <c r="A8" s="483">
        <v>2</v>
      </c>
      <c r="B8" s="484"/>
      <c r="C8" s="485" t="s">
        <v>1421</v>
      </c>
      <c r="D8" s="486" t="s">
        <v>25</v>
      </c>
      <c r="E8" s="487">
        <v>1</v>
      </c>
      <c r="F8" s="669"/>
      <c r="G8" s="487">
        <f t="shared" si="0"/>
        <v>0</v>
      </c>
    </row>
    <row r="9" spans="1:7" s="479" customFormat="1" ht="40.5" customHeight="1">
      <c r="A9" s="483">
        <v>3</v>
      </c>
      <c r="B9" s="484"/>
      <c r="C9" s="485" t="s">
        <v>1422</v>
      </c>
      <c r="D9" s="486" t="s">
        <v>25</v>
      </c>
      <c r="E9" s="487">
        <v>1</v>
      </c>
      <c r="F9" s="669">
        <v>1000000</v>
      </c>
      <c r="G9" s="487">
        <f t="shared" si="0"/>
        <v>1000000</v>
      </c>
    </row>
    <row r="10" spans="1:7" s="479" customFormat="1" ht="27" customHeight="1">
      <c r="A10" s="483">
        <v>4</v>
      </c>
      <c r="B10" s="484"/>
      <c r="C10" s="485" t="s">
        <v>1423</v>
      </c>
      <c r="D10" s="486" t="s">
        <v>25</v>
      </c>
      <c r="E10" s="487">
        <v>1</v>
      </c>
      <c r="F10" s="669"/>
      <c r="G10" s="487">
        <f t="shared" si="0"/>
        <v>0</v>
      </c>
    </row>
    <row r="11" spans="1:7" s="479" customFormat="1" ht="40.5" customHeight="1">
      <c r="A11" s="483">
        <v>5</v>
      </c>
      <c r="B11" s="484"/>
      <c r="C11" s="485" t="s">
        <v>1424</v>
      </c>
      <c r="D11" s="486" t="s">
        <v>25</v>
      </c>
      <c r="E11" s="487">
        <v>1</v>
      </c>
      <c r="F11" s="669"/>
      <c r="G11" s="487">
        <f t="shared" si="0"/>
        <v>0</v>
      </c>
    </row>
    <row r="12" spans="1:7" s="479" customFormat="1" ht="13.5" customHeight="1">
      <c r="A12" s="483">
        <v>6</v>
      </c>
      <c r="B12" s="484"/>
      <c r="C12" s="485" t="s">
        <v>1425</v>
      </c>
      <c r="D12" s="486" t="s">
        <v>25</v>
      </c>
      <c r="E12" s="487">
        <v>1</v>
      </c>
      <c r="F12" s="669"/>
      <c r="G12" s="487">
        <f t="shared" si="0"/>
        <v>0</v>
      </c>
    </row>
    <row r="13" spans="1:7" s="479" customFormat="1" ht="67.5" customHeight="1">
      <c r="A13" s="483">
        <v>7</v>
      </c>
      <c r="B13" s="484"/>
      <c r="C13" s="485" t="s">
        <v>1426</v>
      </c>
      <c r="D13" s="486" t="s">
        <v>25</v>
      </c>
      <c r="E13" s="487">
        <v>1</v>
      </c>
      <c r="F13" s="669"/>
      <c r="G13" s="487">
        <f t="shared" si="0"/>
        <v>0</v>
      </c>
    </row>
    <row r="14" spans="1:7" s="479" customFormat="1" ht="13.5" customHeight="1">
      <c r="A14" s="488"/>
      <c r="B14" s="489" t="s">
        <v>26</v>
      </c>
      <c r="C14" s="490"/>
      <c r="D14" s="491"/>
      <c r="E14" s="492"/>
      <c r="F14" s="493"/>
      <c r="G14" s="494">
        <f>SUM(G7:G13)</f>
        <v>1000000</v>
      </c>
    </row>
    <row r="15" spans="6:7" s="479" customFormat="1" ht="13.2">
      <c r="F15" s="495"/>
      <c r="G15" s="495"/>
    </row>
    <row r="16" spans="1:8" ht="15">
      <c r="A16" s="477" t="s">
        <v>20</v>
      </c>
      <c r="B16" s="477"/>
      <c r="C16" s="477"/>
      <c r="D16" s="477"/>
      <c r="E16" s="477"/>
      <c r="F16" s="477"/>
      <c r="G16" s="477"/>
      <c r="H16" s="477"/>
    </row>
    <row r="17" spans="1:8" ht="27" customHeight="1">
      <c r="A17" s="707" t="s">
        <v>27</v>
      </c>
      <c r="B17" s="707"/>
      <c r="C17" s="707"/>
      <c r="D17" s="707"/>
      <c r="E17" s="707"/>
      <c r="F17" s="707"/>
      <c r="G17" s="707"/>
      <c r="H17" s="477"/>
    </row>
  </sheetData>
  <sheetProtection sheet="1" objects="1" scenarios="1"/>
  <mergeCells count="2">
    <mergeCell ref="D6:G6"/>
    <mergeCell ref="A17:G17"/>
  </mergeCells>
  <printOptions/>
  <pageMargins left="0.7874015748031497" right="0.7874015748031497" top="1.062992125984252" bottom="1.062992125984252" header="0.7874015748031497" footer="0.7874015748031497"/>
  <pageSetup fitToHeight="99" fitToWidth="1" horizontalDpi="300" verticalDpi="300" orientation="portrait" paperSize="9" scale="76" r:id="rId1"/>
  <headerFooter>
    <oddHeader>&amp;C&amp;"Times New Roman,Běžné"&amp;12&amp;A</oddHeader>
    <oddFooter>&amp;C&amp;"Times New Roman,Běžné"&amp;12Stránka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1"/>
  <sheetViews>
    <sheetView workbookViewId="0" topLeftCell="A1">
      <selection activeCell="H755" sqref="H755"/>
    </sheetView>
  </sheetViews>
  <sheetFormatPr defaultColWidth="8.57421875" defaultRowHeight="15"/>
  <cols>
    <col min="1" max="1" width="6.7109375" style="83" customWidth="1"/>
    <col min="2" max="2" width="4.7109375" style="83" customWidth="1"/>
    <col min="3" max="3" width="13.7109375" style="83" customWidth="1"/>
    <col min="4" max="4" width="64.7109375" style="83" customWidth="1"/>
    <col min="5" max="5" width="6.7109375" style="83" customWidth="1"/>
    <col min="6" max="6" width="8.7109375" style="83" customWidth="1"/>
    <col min="7" max="7" width="10.7109375" style="84" customWidth="1"/>
    <col min="8" max="8" width="13.7109375" style="83" customWidth="1"/>
  </cols>
  <sheetData>
    <row r="1" spans="1:8" ht="21">
      <c r="A1" s="74" t="s">
        <v>1453</v>
      </c>
      <c r="B1" s="75"/>
      <c r="C1" s="75"/>
      <c r="D1" s="75"/>
      <c r="E1" s="75"/>
      <c r="F1" s="75"/>
      <c r="G1" s="85"/>
      <c r="H1" s="75"/>
    </row>
    <row r="2" spans="1:8" ht="15">
      <c r="A2" s="76" t="s">
        <v>28</v>
      </c>
      <c r="B2" s="76"/>
      <c r="C2" s="77"/>
      <c r="D2" s="77"/>
      <c r="E2" s="77"/>
      <c r="F2" s="77"/>
      <c r="G2" s="85"/>
      <c r="H2" s="75"/>
    </row>
    <row r="3" spans="1:8" ht="15">
      <c r="A3" s="76" t="s">
        <v>24</v>
      </c>
      <c r="B3" s="78"/>
      <c r="C3" s="79"/>
      <c r="D3" s="80"/>
      <c r="E3" s="80"/>
      <c r="F3" s="80"/>
      <c r="G3" s="81"/>
      <c r="H3" s="80"/>
    </row>
    <row r="4" spans="1:8" ht="15">
      <c r="A4" s="76" t="s">
        <v>29</v>
      </c>
      <c r="B4" s="78"/>
      <c r="C4" s="79"/>
      <c r="D4" s="80"/>
      <c r="E4" s="80"/>
      <c r="F4" s="80"/>
      <c r="G4" s="81"/>
      <c r="H4" s="80"/>
    </row>
    <row r="5" spans="1:8" ht="15">
      <c r="A5" s="76"/>
      <c r="B5" s="78"/>
      <c r="C5" s="79"/>
      <c r="D5" s="80"/>
      <c r="E5" s="80"/>
      <c r="F5" s="80"/>
      <c r="G5" s="81"/>
      <c r="H5" s="80"/>
    </row>
    <row r="6" spans="1:8" ht="21.6">
      <c r="A6" s="86" t="s">
        <v>30</v>
      </c>
      <c r="B6" s="87" t="s">
        <v>31</v>
      </c>
      <c r="C6" s="87" t="s">
        <v>32</v>
      </c>
      <c r="D6" s="87" t="s">
        <v>33</v>
      </c>
      <c r="E6" s="87" t="s">
        <v>34</v>
      </c>
      <c r="F6" s="87" t="s">
        <v>35</v>
      </c>
      <c r="G6" s="88" t="s">
        <v>36</v>
      </c>
      <c r="H6" s="87" t="s">
        <v>15</v>
      </c>
    </row>
    <row r="7" spans="1:8" ht="15">
      <c r="A7" s="86" t="s">
        <v>37</v>
      </c>
      <c r="B7" s="87" t="s">
        <v>38</v>
      </c>
      <c r="C7" s="87" t="s">
        <v>39</v>
      </c>
      <c r="D7" s="87" t="s">
        <v>40</v>
      </c>
      <c r="E7" s="87" t="s">
        <v>41</v>
      </c>
      <c r="F7" s="87" t="s">
        <v>42</v>
      </c>
      <c r="G7" s="88" t="s">
        <v>43</v>
      </c>
      <c r="H7" s="87">
        <v>8</v>
      </c>
    </row>
    <row r="8" spans="1:8" ht="20.1" customHeight="1">
      <c r="A8" s="89"/>
      <c r="B8" s="90"/>
      <c r="C8" s="90" t="s">
        <v>44</v>
      </c>
      <c r="D8" s="90" t="s">
        <v>45</v>
      </c>
      <c r="E8" s="90"/>
      <c r="F8" s="91"/>
      <c r="G8" s="92"/>
      <c r="H8" s="92">
        <f>H9+H27+H38+H61+H95+H149+H56</f>
        <v>0</v>
      </c>
    </row>
    <row r="9" spans="1:8" ht="15" customHeight="1">
      <c r="A9" s="93"/>
      <c r="B9" s="94"/>
      <c r="C9" s="94">
        <v>1</v>
      </c>
      <c r="D9" s="94" t="s">
        <v>46</v>
      </c>
      <c r="E9" s="94"/>
      <c r="F9" s="95"/>
      <c r="G9" s="96"/>
      <c r="H9" s="96">
        <f>SUM(H10:H26)</f>
        <v>0</v>
      </c>
    </row>
    <row r="10" spans="1:8" s="101" customFormat="1" ht="13.5" customHeight="1">
      <c r="A10" s="97">
        <v>1</v>
      </c>
      <c r="B10" s="98">
        <v>113</v>
      </c>
      <c r="C10" s="98">
        <v>113106111</v>
      </c>
      <c r="D10" s="98" t="s">
        <v>47</v>
      </c>
      <c r="E10" s="98" t="s">
        <v>48</v>
      </c>
      <c r="F10" s="99">
        <f>F11</f>
        <v>180.39999999999998</v>
      </c>
      <c r="G10" s="673"/>
      <c r="H10" s="100">
        <f>F10*G10</f>
        <v>0</v>
      </c>
    </row>
    <row r="11" spans="1:10" s="104" customFormat="1" ht="13.5" customHeight="1">
      <c r="A11" s="97"/>
      <c r="B11" s="98"/>
      <c r="C11" s="98"/>
      <c r="D11" s="102" t="s">
        <v>49</v>
      </c>
      <c r="E11" s="98"/>
      <c r="F11" s="103">
        <f>299.4-119</f>
        <v>180.39999999999998</v>
      </c>
      <c r="G11" s="673"/>
      <c r="H11" s="100"/>
      <c r="J11" s="101"/>
    </row>
    <row r="12" spans="1:8" s="101" customFormat="1" ht="13.5" customHeight="1">
      <c r="A12" s="97">
        <v>2</v>
      </c>
      <c r="B12" s="98">
        <v>131</v>
      </c>
      <c r="C12" s="98">
        <v>131201102</v>
      </c>
      <c r="D12" s="98" t="s">
        <v>50</v>
      </c>
      <c r="E12" s="98" t="s">
        <v>51</v>
      </c>
      <c r="F12" s="99">
        <f>F13</f>
        <v>40.3</v>
      </c>
      <c r="G12" s="673"/>
      <c r="H12" s="100">
        <f>F12*G12</f>
        <v>0</v>
      </c>
    </row>
    <row r="13" spans="1:10" s="104" customFormat="1" ht="13.5" customHeight="1">
      <c r="A13" s="97"/>
      <c r="B13" s="98"/>
      <c r="C13" s="98"/>
      <c r="D13" s="102" t="s">
        <v>52</v>
      </c>
      <c r="E13" s="98"/>
      <c r="F13" s="103">
        <f>63.3-23</f>
        <v>40.3</v>
      </c>
      <c r="G13" s="673"/>
      <c r="H13" s="100"/>
      <c r="J13" s="101"/>
    </row>
    <row r="14" spans="1:8" s="101" customFormat="1" ht="13.5" customHeight="1">
      <c r="A14" s="97">
        <v>3</v>
      </c>
      <c r="B14" s="98">
        <v>151</v>
      </c>
      <c r="C14" s="98">
        <v>151101201</v>
      </c>
      <c r="D14" s="98" t="s">
        <v>53</v>
      </c>
      <c r="E14" s="98" t="s">
        <v>48</v>
      </c>
      <c r="F14" s="99">
        <f>126.5-52</f>
        <v>74.5</v>
      </c>
      <c r="G14" s="673"/>
      <c r="H14" s="100">
        <f>F14*G14</f>
        <v>0</v>
      </c>
    </row>
    <row r="15" spans="1:8" s="101" customFormat="1" ht="13.5" customHeight="1">
      <c r="A15" s="97">
        <v>4</v>
      </c>
      <c r="B15" s="98">
        <v>151</v>
      </c>
      <c r="C15" s="98">
        <v>151101211</v>
      </c>
      <c r="D15" s="98" t="s">
        <v>54</v>
      </c>
      <c r="E15" s="98" t="s">
        <v>48</v>
      </c>
      <c r="F15" s="99">
        <f>126.5-52</f>
        <v>74.5</v>
      </c>
      <c r="G15" s="673"/>
      <c r="H15" s="100">
        <f>F15*G15</f>
        <v>0</v>
      </c>
    </row>
    <row r="16" spans="1:8" s="101" customFormat="1" ht="13.5" customHeight="1">
      <c r="A16" s="97">
        <v>5</v>
      </c>
      <c r="B16" s="98">
        <v>151</v>
      </c>
      <c r="C16" s="98">
        <v>151101301</v>
      </c>
      <c r="D16" s="98" t="s">
        <v>55</v>
      </c>
      <c r="E16" s="98" t="s">
        <v>51</v>
      </c>
      <c r="F16" s="99">
        <f>63.3-23</f>
        <v>40.3</v>
      </c>
      <c r="G16" s="673"/>
      <c r="H16" s="100">
        <f>F16*G16</f>
        <v>0</v>
      </c>
    </row>
    <row r="17" spans="1:8" s="101" customFormat="1" ht="13.5" customHeight="1">
      <c r="A17" s="97">
        <v>6</v>
      </c>
      <c r="B17" s="98">
        <v>151</v>
      </c>
      <c r="C17" s="98">
        <v>151101311</v>
      </c>
      <c r="D17" s="98" t="s">
        <v>56</v>
      </c>
      <c r="E17" s="98" t="s">
        <v>51</v>
      </c>
      <c r="F17" s="99">
        <f>F16</f>
        <v>40.3</v>
      </c>
      <c r="G17" s="673"/>
      <c r="H17" s="100">
        <f>F17*G17</f>
        <v>0</v>
      </c>
    </row>
    <row r="18" spans="1:8" s="101" customFormat="1" ht="13.5" customHeight="1">
      <c r="A18" s="97">
        <v>7</v>
      </c>
      <c r="B18" s="98">
        <v>161</v>
      </c>
      <c r="C18" s="98">
        <v>161101101</v>
      </c>
      <c r="D18" s="98" t="s">
        <v>57</v>
      </c>
      <c r="E18" s="98" t="s">
        <v>51</v>
      </c>
      <c r="F18" s="99">
        <f>F19</f>
        <v>40.3</v>
      </c>
      <c r="G18" s="673"/>
      <c r="H18" s="100">
        <f>F18*G18</f>
        <v>0</v>
      </c>
    </row>
    <row r="19" spans="1:10" s="104" customFormat="1" ht="40.5" customHeight="1">
      <c r="A19" s="97"/>
      <c r="B19" s="98"/>
      <c r="C19" s="98"/>
      <c r="D19" s="102" t="s">
        <v>58</v>
      </c>
      <c r="E19" s="98"/>
      <c r="F19" s="103">
        <f>63.3-23</f>
        <v>40.3</v>
      </c>
      <c r="G19" s="673"/>
      <c r="H19" s="100"/>
      <c r="J19" s="101"/>
    </row>
    <row r="20" spans="1:8" s="101" customFormat="1" ht="13.5" customHeight="1">
      <c r="A20" s="97">
        <v>8</v>
      </c>
      <c r="B20" s="98">
        <v>162</v>
      </c>
      <c r="C20" s="98">
        <v>162201102</v>
      </c>
      <c r="D20" s="98" t="s">
        <v>59</v>
      </c>
      <c r="E20" s="98" t="s">
        <v>51</v>
      </c>
      <c r="F20" s="99">
        <f>F21</f>
        <v>40.3</v>
      </c>
      <c r="G20" s="673"/>
      <c r="H20" s="100">
        <f>F20*G20</f>
        <v>0</v>
      </c>
    </row>
    <row r="21" spans="1:10" s="104" customFormat="1" ht="40.5" customHeight="1">
      <c r="A21" s="97"/>
      <c r="B21" s="98"/>
      <c r="C21" s="98"/>
      <c r="D21" s="102" t="s">
        <v>60</v>
      </c>
      <c r="E21" s="98"/>
      <c r="F21" s="103">
        <f>63.3-23</f>
        <v>40.3</v>
      </c>
      <c r="G21" s="673"/>
      <c r="H21" s="100"/>
      <c r="J21" s="101"/>
    </row>
    <row r="22" spans="1:8" s="101" customFormat="1" ht="13.5" customHeight="1">
      <c r="A22" s="97">
        <v>9</v>
      </c>
      <c r="B22" s="98">
        <v>171</v>
      </c>
      <c r="C22" s="98">
        <v>171201101</v>
      </c>
      <c r="D22" s="98" t="s">
        <v>61</v>
      </c>
      <c r="E22" s="98" t="s">
        <v>51</v>
      </c>
      <c r="F22" s="99">
        <f>F23</f>
        <v>40.3</v>
      </c>
      <c r="G22" s="673"/>
      <c r="H22" s="100">
        <f>F22*G22</f>
        <v>0</v>
      </c>
    </row>
    <row r="23" spans="1:10" s="104" customFormat="1" ht="27" customHeight="1">
      <c r="A23" s="97"/>
      <c r="B23" s="98"/>
      <c r="C23" s="98"/>
      <c r="D23" s="102" t="s">
        <v>62</v>
      </c>
      <c r="E23" s="98"/>
      <c r="F23" s="103">
        <f>F12</f>
        <v>40.3</v>
      </c>
      <c r="G23" s="673"/>
      <c r="H23" s="100"/>
      <c r="J23" s="101"/>
    </row>
    <row r="24" spans="1:8" s="101" customFormat="1" ht="13.5" customHeight="1">
      <c r="A24" s="97">
        <v>10</v>
      </c>
      <c r="B24" s="98">
        <v>174</v>
      </c>
      <c r="C24" s="98">
        <v>174101101</v>
      </c>
      <c r="D24" s="98" t="s">
        <v>63</v>
      </c>
      <c r="E24" s="98" t="s">
        <v>51</v>
      </c>
      <c r="F24" s="99">
        <f>F25</f>
        <v>40.3</v>
      </c>
      <c r="G24" s="673"/>
      <c r="H24" s="100">
        <f>F24*G24</f>
        <v>0</v>
      </c>
    </row>
    <row r="25" spans="1:10" s="104" customFormat="1" ht="27" customHeight="1">
      <c r="A25" s="97"/>
      <c r="B25" s="98"/>
      <c r="C25" s="98"/>
      <c r="D25" s="102" t="s">
        <v>64</v>
      </c>
      <c r="E25" s="98"/>
      <c r="F25" s="103">
        <f>63.3-23</f>
        <v>40.3</v>
      </c>
      <c r="G25" s="673"/>
      <c r="H25" s="100"/>
      <c r="J25" s="101"/>
    </row>
    <row r="26" spans="1:8" s="109" customFormat="1" ht="13.5" customHeight="1">
      <c r="A26" s="105">
        <v>11</v>
      </c>
      <c r="B26" s="106">
        <v>583</v>
      </c>
      <c r="C26" s="106">
        <v>58343930</v>
      </c>
      <c r="D26" s="106" t="s">
        <v>65</v>
      </c>
      <c r="E26" s="106" t="s">
        <v>66</v>
      </c>
      <c r="F26" s="107">
        <f>37-13</f>
        <v>24</v>
      </c>
      <c r="G26" s="679"/>
      <c r="H26" s="108">
        <f>F26*G26</f>
        <v>0</v>
      </c>
    </row>
    <row r="27" spans="1:8" ht="15" customHeight="1">
      <c r="A27" s="93"/>
      <c r="B27" s="94"/>
      <c r="C27" s="94">
        <v>3</v>
      </c>
      <c r="D27" s="94" t="s">
        <v>67</v>
      </c>
      <c r="E27" s="94"/>
      <c r="F27" s="95"/>
      <c r="G27" s="678"/>
      <c r="H27" s="96">
        <f>SUM(H28:H37)</f>
        <v>0</v>
      </c>
    </row>
    <row r="28" spans="1:10" s="104" customFormat="1" ht="13.5" customHeight="1">
      <c r="A28" s="97">
        <v>12</v>
      </c>
      <c r="B28" s="110" t="s">
        <v>68</v>
      </c>
      <c r="C28" s="98">
        <v>311231139</v>
      </c>
      <c r="D28" s="98" t="s">
        <v>69</v>
      </c>
      <c r="E28" s="98" t="s">
        <v>51</v>
      </c>
      <c r="F28" s="99">
        <f>SUM(F29:F31)</f>
        <v>16.3</v>
      </c>
      <c r="G28" s="673"/>
      <c r="H28" s="100">
        <f>F28*G28</f>
        <v>0</v>
      </c>
      <c r="J28" s="101"/>
    </row>
    <row r="29" spans="1:10" s="104" customFormat="1" ht="27" customHeight="1">
      <c r="A29" s="97"/>
      <c r="B29" s="98"/>
      <c r="C29" s="98"/>
      <c r="D29" s="102" t="s">
        <v>70</v>
      </c>
      <c r="E29" s="98"/>
      <c r="F29" s="103">
        <v>11</v>
      </c>
      <c r="G29" s="673"/>
      <c r="H29" s="100"/>
      <c r="J29" s="101"/>
    </row>
    <row r="30" spans="1:10" s="104" customFormat="1" ht="13.5" customHeight="1">
      <c r="A30" s="111"/>
      <c r="B30" s="102"/>
      <c r="C30" s="102"/>
      <c r="D30" s="102" t="s">
        <v>71</v>
      </c>
      <c r="E30" s="102"/>
      <c r="F30" s="112">
        <v>1.4</v>
      </c>
      <c r="G30" s="677"/>
      <c r="H30" s="113"/>
      <c r="J30" s="101"/>
    </row>
    <row r="31" spans="1:10" s="104" customFormat="1" ht="13.5" customHeight="1">
      <c r="A31" s="111"/>
      <c r="B31" s="102"/>
      <c r="C31" s="102"/>
      <c r="D31" s="102" t="s">
        <v>72</v>
      </c>
      <c r="E31" s="102"/>
      <c r="F31" s="112">
        <v>3.9</v>
      </c>
      <c r="G31" s="677"/>
      <c r="H31" s="113"/>
      <c r="J31" s="101"/>
    </row>
    <row r="32" spans="1:10" s="104" customFormat="1" ht="27" customHeight="1">
      <c r="A32" s="97">
        <v>13</v>
      </c>
      <c r="B32" s="110">
        <v>311</v>
      </c>
      <c r="C32" s="98">
        <v>311272111</v>
      </c>
      <c r="D32" s="98" t="s">
        <v>73</v>
      </c>
      <c r="E32" s="98" t="s">
        <v>48</v>
      </c>
      <c r="F32" s="99">
        <f>SUM(F33:F35)</f>
        <v>34.3</v>
      </c>
      <c r="G32" s="673"/>
      <c r="H32" s="100">
        <f>F32*G32</f>
        <v>0</v>
      </c>
      <c r="J32" s="101"/>
    </row>
    <row r="33" spans="1:10" s="104" customFormat="1" ht="13.5" customHeight="1">
      <c r="A33" s="111"/>
      <c r="B33" s="102"/>
      <c r="C33" s="102"/>
      <c r="D33" s="102" t="s">
        <v>74</v>
      </c>
      <c r="E33" s="102"/>
      <c r="F33" s="112">
        <v>8</v>
      </c>
      <c r="G33" s="677"/>
      <c r="H33" s="113"/>
      <c r="J33" s="101"/>
    </row>
    <row r="34" spans="1:10" s="104" customFormat="1" ht="13.5" customHeight="1">
      <c r="A34" s="111"/>
      <c r="B34" s="102"/>
      <c r="C34" s="102"/>
      <c r="D34" s="102" t="s">
        <v>75</v>
      </c>
      <c r="E34" s="102"/>
      <c r="F34" s="112">
        <v>21.3</v>
      </c>
      <c r="G34" s="677"/>
      <c r="H34" s="113"/>
      <c r="J34" s="101"/>
    </row>
    <row r="35" spans="1:10" s="104" customFormat="1" ht="13.5" customHeight="1">
      <c r="A35" s="111"/>
      <c r="B35" s="102"/>
      <c r="C35" s="102"/>
      <c r="D35" s="102" t="s">
        <v>76</v>
      </c>
      <c r="E35" s="102"/>
      <c r="F35" s="112">
        <v>5</v>
      </c>
      <c r="G35" s="677"/>
      <c r="H35" s="113"/>
      <c r="J35" s="101"/>
    </row>
    <row r="36" spans="1:10" s="104" customFormat="1" ht="13.5" customHeight="1">
      <c r="A36" s="97">
        <v>14</v>
      </c>
      <c r="B36" s="110" t="s">
        <v>68</v>
      </c>
      <c r="C36" s="98">
        <v>342272235</v>
      </c>
      <c r="D36" s="98" t="s">
        <v>77</v>
      </c>
      <c r="E36" s="98" t="s">
        <v>48</v>
      </c>
      <c r="F36" s="99">
        <f>SUM(F37:F37)</f>
        <v>5</v>
      </c>
      <c r="G36" s="673"/>
      <c r="H36" s="100">
        <f>F36*G36</f>
        <v>0</v>
      </c>
      <c r="J36" s="101"/>
    </row>
    <row r="37" spans="1:10" s="104" customFormat="1" ht="13.5" customHeight="1">
      <c r="A37" s="111"/>
      <c r="B37" s="102"/>
      <c r="C37" s="102"/>
      <c r="D37" s="102" t="s">
        <v>78</v>
      </c>
      <c r="E37" s="102"/>
      <c r="F37" s="112">
        <v>5</v>
      </c>
      <c r="G37" s="677"/>
      <c r="H37" s="113"/>
      <c r="J37" s="101"/>
    </row>
    <row r="38" spans="1:8" ht="15" customHeight="1">
      <c r="A38" s="93"/>
      <c r="B38" s="94"/>
      <c r="C38" s="94">
        <v>4</v>
      </c>
      <c r="D38" s="94" t="s">
        <v>80</v>
      </c>
      <c r="E38" s="94"/>
      <c r="F38" s="95"/>
      <c r="G38" s="678"/>
      <c r="H38" s="96">
        <f>SUM(H39:H55)</f>
        <v>0</v>
      </c>
    </row>
    <row r="39" spans="1:8" s="101" customFormat="1" ht="13.5" customHeight="1">
      <c r="A39" s="97">
        <v>15</v>
      </c>
      <c r="B39" s="98">
        <v>411</v>
      </c>
      <c r="C39" s="98">
        <v>411321515</v>
      </c>
      <c r="D39" s="98" t="s">
        <v>81</v>
      </c>
      <c r="E39" s="98" t="s">
        <v>51</v>
      </c>
      <c r="F39" s="99">
        <f>F40</f>
        <v>5.8</v>
      </c>
      <c r="G39" s="673"/>
      <c r="H39" s="100">
        <f>F39*G39</f>
        <v>0</v>
      </c>
    </row>
    <row r="40" spans="1:10" s="104" customFormat="1" ht="27" customHeight="1">
      <c r="A40" s="111"/>
      <c r="B40" s="102"/>
      <c r="C40" s="102"/>
      <c r="D40" s="102" t="s">
        <v>82</v>
      </c>
      <c r="E40" s="102"/>
      <c r="F40" s="112">
        <v>5.8</v>
      </c>
      <c r="G40" s="677"/>
      <c r="H40" s="113"/>
      <c r="J40" s="101"/>
    </row>
    <row r="41" spans="1:8" s="101" customFormat="1" ht="13.5" customHeight="1">
      <c r="A41" s="97">
        <v>16</v>
      </c>
      <c r="B41" s="98">
        <v>411</v>
      </c>
      <c r="C41" s="98">
        <v>411354711</v>
      </c>
      <c r="D41" s="98" t="s">
        <v>83</v>
      </c>
      <c r="E41" s="98" t="s">
        <v>48</v>
      </c>
      <c r="F41" s="99">
        <f>F42</f>
        <v>98.7</v>
      </c>
      <c r="G41" s="673"/>
      <c r="H41" s="100">
        <f>F41*G41</f>
        <v>0</v>
      </c>
    </row>
    <row r="42" spans="1:10" s="114" customFormat="1" ht="27" customHeight="1">
      <c r="A42" s="97"/>
      <c r="B42" s="98"/>
      <c r="C42" s="98"/>
      <c r="D42" s="102" t="s">
        <v>84</v>
      </c>
      <c r="E42" s="98"/>
      <c r="F42" s="103">
        <v>98.7</v>
      </c>
      <c r="G42" s="673"/>
      <c r="H42" s="100"/>
      <c r="J42" s="101"/>
    </row>
    <row r="43" spans="1:8" s="101" customFormat="1" ht="13.5" customHeight="1">
      <c r="A43" s="97">
        <v>17</v>
      </c>
      <c r="B43" s="98">
        <v>411</v>
      </c>
      <c r="C43" s="98">
        <v>411354712</v>
      </c>
      <c r="D43" s="98" t="s">
        <v>85</v>
      </c>
      <c r="E43" s="98" t="s">
        <v>48</v>
      </c>
      <c r="F43" s="99">
        <f>F41</f>
        <v>98.7</v>
      </c>
      <c r="G43" s="673"/>
      <c r="H43" s="100">
        <f>F43*G43</f>
        <v>0</v>
      </c>
    </row>
    <row r="44" spans="1:8" s="101" customFormat="1" ht="13.5" customHeight="1">
      <c r="A44" s="97">
        <v>18</v>
      </c>
      <c r="B44" s="98">
        <v>411</v>
      </c>
      <c r="C44" s="98">
        <v>411354795</v>
      </c>
      <c r="D44" s="98" t="s">
        <v>86</v>
      </c>
      <c r="E44" s="98" t="s">
        <v>48</v>
      </c>
      <c r="F44" s="99">
        <f>F45</f>
        <v>98.7</v>
      </c>
      <c r="G44" s="673"/>
      <c r="H44" s="100">
        <f>F44*G44</f>
        <v>0</v>
      </c>
    </row>
    <row r="45" spans="1:10" s="114" customFormat="1" ht="27" customHeight="1">
      <c r="A45" s="97"/>
      <c r="B45" s="98"/>
      <c r="C45" s="98"/>
      <c r="D45" s="102" t="s">
        <v>87</v>
      </c>
      <c r="E45" s="98"/>
      <c r="F45" s="103">
        <v>98.7</v>
      </c>
      <c r="G45" s="673"/>
      <c r="H45" s="100"/>
      <c r="J45" s="101"/>
    </row>
    <row r="46" spans="1:8" s="101" customFormat="1" ht="13.5" customHeight="1">
      <c r="A46" s="97">
        <v>19</v>
      </c>
      <c r="B46" s="98">
        <v>411</v>
      </c>
      <c r="C46" s="98">
        <v>411354796</v>
      </c>
      <c r="D46" s="98" t="s">
        <v>88</v>
      </c>
      <c r="E46" s="98" t="s">
        <v>48</v>
      </c>
      <c r="F46" s="99">
        <f>F44</f>
        <v>98.7</v>
      </c>
      <c r="G46" s="673"/>
      <c r="H46" s="100">
        <f>F46*G46</f>
        <v>0</v>
      </c>
    </row>
    <row r="47" spans="1:8" s="101" customFormat="1" ht="13.5" customHeight="1">
      <c r="A47" s="97">
        <v>20</v>
      </c>
      <c r="B47" s="98">
        <v>417</v>
      </c>
      <c r="C47" s="98">
        <v>417321414</v>
      </c>
      <c r="D47" s="98" t="s">
        <v>89</v>
      </c>
      <c r="E47" s="98" t="s">
        <v>51</v>
      </c>
      <c r="F47" s="99">
        <f>F48</f>
        <v>33.1</v>
      </c>
      <c r="G47" s="673"/>
      <c r="H47" s="100">
        <f>F47*G47</f>
        <v>0</v>
      </c>
    </row>
    <row r="48" spans="1:10" s="104" customFormat="1" ht="27" customHeight="1">
      <c r="A48" s="111"/>
      <c r="B48" s="102"/>
      <c r="C48" s="102"/>
      <c r="D48" s="102" t="s">
        <v>90</v>
      </c>
      <c r="E48" s="102"/>
      <c r="F48" s="112">
        <v>33.1</v>
      </c>
      <c r="G48" s="677"/>
      <c r="H48" s="113"/>
      <c r="J48" s="101"/>
    </row>
    <row r="49" spans="1:8" s="101" customFormat="1" ht="13.5" customHeight="1">
      <c r="A49" s="97">
        <v>21</v>
      </c>
      <c r="B49" s="98">
        <v>417</v>
      </c>
      <c r="C49" s="98">
        <v>417351115</v>
      </c>
      <c r="D49" s="98" t="s">
        <v>91</v>
      </c>
      <c r="E49" s="98" t="s">
        <v>48</v>
      </c>
      <c r="F49" s="99">
        <f>F50</f>
        <v>323.12000000000006</v>
      </c>
      <c r="G49" s="673"/>
      <c r="H49" s="100">
        <f>F49*G49</f>
        <v>0</v>
      </c>
    </row>
    <row r="50" spans="1:10" s="104" customFormat="1" ht="27" customHeight="1">
      <c r="A50" s="111"/>
      <c r="B50" s="102"/>
      <c r="C50" s="102"/>
      <c r="D50" s="102" t="s">
        <v>92</v>
      </c>
      <c r="E50" s="102"/>
      <c r="F50" s="112">
        <f>0.8*(75+17.3+26.1+15.1+26.4+84.1+75+17.3+26.1+15.1+26.4)</f>
        <v>323.12000000000006</v>
      </c>
      <c r="G50" s="677"/>
      <c r="H50" s="113"/>
      <c r="J50" s="101"/>
    </row>
    <row r="51" spans="1:8" s="101" customFormat="1" ht="13.5" customHeight="1">
      <c r="A51" s="97">
        <v>22</v>
      </c>
      <c r="B51" s="98">
        <v>417</v>
      </c>
      <c r="C51" s="98">
        <v>417351116</v>
      </c>
      <c r="D51" s="98" t="s">
        <v>93</v>
      </c>
      <c r="E51" s="98" t="s">
        <v>48</v>
      </c>
      <c r="F51" s="99">
        <f>F49</f>
        <v>323.12000000000006</v>
      </c>
      <c r="G51" s="673"/>
      <c r="H51" s="100">
        <f>F51*G51</f>
        <v>0</v>
      </c>
    </row>
    <row r="52" spans="1:8" s="101" customFormat="1" ht="13.5" customHeight="1">
      <c r="A52" s="97">
        <v>23</v>
      </c>
      <c r="B52" s="98">
        <v>417</v>
      </c>
      <c r="C52" s="98">
        <v>417361821</v>
      </c>
      <c r="D52" s="98" t="s">
        <v>94</v>
      </c>
      <c r="E52" s="98" t="s">
        <v>66</v>
      </c>
      <c r="F52" s="99">
        <f>F53</f>
        <v>3.3</v>
      </c>
      <c r="G52" s="673"/>
      <c r="H52" s="100">
        <f>F52*G52</f>
        <v>0</v>
      </c>
    </row>
    <row r="53" spans="1:10" s="104" customFormat="1" ht="13.5" customHeight="1">
      <c r="A53" s="111"/>
      <c r="B53" s="102"/>
      <c r="C53" s="102"/>
      <c r="D53" s="102" t="s">
        <v>95</v>
      </c>
      <c r="E53" s="102"/>
      <c r="F53" s="112">
        <v>3.3</v>
      </c>
      <c r="G53" s="677"/>
      <c r="H53" s="113"/>
      <c r="J53" s="101"/>
    </row>
    <row r="54" spans="1:8" s="101" customFormat="1" ht="13.5" customHeight="1">
      <c r="A54" s="97">
        <v>24</v>
      </c>
      <c r="B54" s="98">
        <v>417</v>
      </c>
      <c r="C54" s="98" t="s">
        <v>96</v>
      </c>
      <c r="D54" s="98" t="s">
        <v>97</v>
      </c>
      <c r="E54" s="98" t="s">
        <v>51</v>
      </c>
      <c r="F54" s="99">
        <f>F55</f>
        <v>4.2</v>
      </c>
      <c r="G54" s="673"/>
      <c r="H54" s="100">
        <f>F54*G54</f>
        <v>0</v>
      </c>
    </row>
    <row r="55" spans="1:10" s="104" customFormat="1" ht="13.5" customHeight="1">
      <c r="A55" s="111"/>
      <c r="B55" s="102"/>
      <c r="C55" s="102"/>
      <c r="D55" s="102" t="s">
        <v>98</v>
      </c>
      <c r="E55" s="102"/>
      <c r="F55" s="112">
        <v>4.2</v>
      </c>
      <c r="G55" s="677"/>
      <c r="H55" s="113"/>
      <c r="J55" s="101"/>
    </row>
    <row r="56" spans="1:8" ht="15" customHeight="1">
      <c r="A56" s="93"/>
      <c r="B56" s="94"/>
      <c r="C56" s="94">
        <v>5</v>
      </c>
      <c r="D56" s="94" t="s">
        <v>109</v>
      </c>
      <c r="E56" s="94"/>
      <c r="F56" s="95"/>
      <c r="G56" s="678"/>
      <c r="H56" s="96">
        <f>SUM(H57:H60)</f>
        <v>0</v>
      </c>
    </row>
    <row r="57" spans="1:10" s="104" customFormat="1" ht="13.5" customHeight="1">
      <c r="A57" s="97">
        <v>25</v>
      </c>
      <c r="B57" s="110">
        <v>591</v>
      </c>
      <c r="C57" s="98">
        <v>591411111</v>
      </c>
      <c r="D57" s="98" t="s">
        <v>110</v>
      </c>
      <c r="E57" s="98" t="s">
        <v>48</v>
      </c>
      <c r="F57" s="99">
        <f>F58</f>
        <v>180.39999999999998</v>
      </c>
      <c r="G57" s="673"/>
      <c r="H57" s="100">
        <f>F57*G57</f>
        <v>0</v>
      </c>
      <c r="J57" s="101"/>
    </row>
    <row r="58" spans="1:10" s="114" customFormat="1" ht="13.5" customHeight="1">
      <c r="A58" s="97"/>
      <c r="B58" s="98"/>
      <c r="C58" s="98"/>
      <c r="D58" s="102" t="s">
        <v>111</v>
      </c>
      <c r="E58" s="98"/>
      <c r="F58" s="103">
        <f>299.4-119</f>
        <v>180.39999999999998</v>
      </c>
      <c r="G58" s="673"/>
      <c r="H58" s="100"/>
      <c r="J58" s="101"/>
    </row>
    <row r="59" spans="1:10" s="116" customFormat="1" ht="13.5" customHeight="1">
      <c r="A59" s="105">
        <v>26</v>
      </c>
      <c r="B59" s="115">
        <v>583</v>
      </c>
      <c r="C59" s="106">
        <v>58381004</v>
      </c>
      <c r="D59" s="106" t="s">
        <v>112</v>
      </c>
      <c r="E59" s="106" t="s">
        <v>48</v>
      </c>
      <c r="F59" s="107">
        <f>F60</f>
        <v>56.8</v>
      </c>
      <c r="G59" s="679"/>
      <c r="H59" s="108">
        <f>F59*G59</f>
        <v>0</v>
      </c>
      <c r="J59" s="109"/>
    </row>
    <row r="60" spans="1:10" s="114" customFormat="1" ht="13.5" customHeight="1">
      <c r="A60" s="97"/>
      <c r="B60" s="98"/>
      <c r="C60" s="98"/>
      <c r="D60" s="102" t="s">
        <v>113</v>
      </c>
      <c r="E60" s="98"/>
      <c r="F60" s="103">
        <f>89.8-33</f>
        <v>56.8</v>
      </c>
      <c r="G60" s="673"/>
      <c r="H60" s="100"/>
      <c r="J60" s="101"/>
    </row>
    <row r="61" spans="1:8" ht="15" customHeight="1">
      <c r="A61" s="93"/>
      <c r="B61" s="94"/>
      <c r="C61" s="94" t="s">
        <v>42</v>
      </c>
      <c r="D61" s="94" t="s">
        <v>114</v>
      </c>
      <c r="E61" s="94"/>
      <c r="F61" s="95"/>
      <c r="G61" s="678"/>
      <c r="H61" s="96">
        <f>SUM(H62:H94)</f>
        <v>0</v>
      </c>
    </row>
    <row r="62" spans="1:10" s="104" customFormat="1" ht="13.5" customHeight="1">
      <c r="A62" s="97">
        <v>27</v>
      </c>
      <c r="B62" s="110">
        <v>612</v>
      </c>
      <c r="C62" s="98">
        <v>612321121</v>
      </c>
      <c r="D62" s="98" t="s">
        <v>115</v>
      </c>
      <c r="E62" s="98" t="s">
        <v>48</v>
      </c>
      <c r="F62" s="99">
        <f>F63</f>
        <v>732</v>
      </c>
      <c r="G62" s="673"/>
      <c r="H62" s="100">
        <f>F62*G62</f>
        <v>0</v>
      </c>
      <c r="J62" s="101"/>
    </row>
    <row r="63" spans="1:10" s="104" customFormat="1" ht="27" customHeight="1">
      <c r="A63" s="111"/>
      <c r="B63" s="102"/>
      <c r="C63" s="102"/>
      <c r="D63" s="102" t="s">
        <v>116</v>
      </c>
      <c r="E63" s="102"/>
      <c r="F63" s="112">
        <v>732</v>
      </c>
      <c r="G63" s="677"/>
      <c r="H63" s="113"/>
      <c r="I63" s="114"/>
      <c r="J63" s="117"/>
    </row>
    <row r="64" spans="1:10" s="114" customFormat="1" ht="13.5" customHeight="1">
      <c r="A64" s="457"/>
      <c r="B64" s="449"/>
      <c r="C64" s="449"/>
      <c r="D64" s="449" t="s">
        <v>1449</v>
      </c>
      <c r="E64" s="449"/>
      <c r="F64" s="458"/>
      <c r="G64" s="677"/>
      <c r="H64" s="459"/>
      <c r="J64" s="117"/>
    </row>
    <row r="65" spans="1:10" s="104" customFormat="1" ht="13.5" customHeight="1">
      <c r="A65" s="97">
        <v>28</v>
      </c>
      <c r="B65" s="110">
        <v>622</v>
      </c>
      <c r="C65" s="98">
        <v>622321111</v>
      </c>
      <c r="D65" s="98" t="s">
        <v>117</v>
      </c>
      <c r="E65" s="98" t="s">
        <v>48</v>
      </c>
      <c r="F65" s="99">
        <f>SUM(F66:F71)</f>
        <v>1331.6</v>
      </c>
      <c r="G65" s="673"/>
      <c r="H65" s="100">
        <f>F65*G65</f>
        <v>0</v>
      </c>
      <c r="J65" s="101"/>
    </row>
    <row r="66" spans="1:10" s="104" customFormat="1" ht="13.5" customHeight="1">
      <c r="A66" s="111"/>
      <c r="B66" s="102"/>
      <c r="C66" s="102"/>
      <c r="D66" s="102" t="s">
        <v>118</v>
      </c>
      <c r="E66" s="102"/>
      <c r="F66" s="112">
        <v>177.9</v>
      </c>
      <c r="G66" s="677"/>
      <c r="H66" s="113"/>
      <c r="I66" s="114"/>
      <c r="J66" s="117"/>
    </row>
    <row r="67" spans="1:10" s="104" customFormat="1" ht="14.4" customHeight="1">
      <c r="A67" s="111"/>
      <c r="B67" s="102"/>
      <c r="C67" s="102"/>
      <c r="D67" s="102" t="s">
        <v>1455</v>
      </c>
      <c r="E67" s="102"/>
      <c r="F67" s="112">
        <v>779.8</v>
      </c>
      <c r="G67" s="677"/>
      <c r="H67" s="113"/>
      <c r="I67" s="114"/>
      <c r="J67" s="117"/>
    </row>
    <row r="68" spans="1:10" s="104" customFormat="1" ht="13.5" customHeight="1">
      <c r="A68" s="111"/>
      <c r="B68" s="102"/>
      <c r="C68" s="102"/>
      <c r="D68" s="102" t="s">
        <v>1456</v>
      </c>
      <c r="E68" s="102"/>
      <c r="F68" s="112">
        <v>126.9</v>
      </c>
      <c r="G68" s="677"/>
      <c r="H68" s="113"/>
      <c r="I68" s="114"/>
      <c r="J68" s="117"/>
    </row>
    <row r="69" spans="1:10" s="104" customFormat="1" ht="13.5" customHeight="1">
      <c r="A69" s="111"/>
      <c r="B69" s="102"/>
      <c r="C69" s="102"/>
      <c r="D69" s="102" t="s">
        <v>119</v>
      </c>
      <c r="E69" s="98"/>
      <c r="F69" s="103">
        <v>73.8</v>
      </c>
      <c r="G69" s="677"/>
      <c r="H69" s="113"/>
      <c r="I69" s="114"/>
      <c r="J69" s="117"/>
    </row>
    <row r="70" spans="1:10" s="104" customFormat="1" ht="15" customHeight="1">
      <c r="A70" s="111"/>
      <c r="B70" s="102"/>
      <c r="C70" s="102"/>
      <c r="D70" s="102" t="s">
        <v>1457</v>
      </c>
      <c r="E70" s="98"/>
      <c r="F70" s="103">
        <v>117.4</v>
      </c>
      <c r="G70" s="677"/>
      <c r="H70" s="113"/>
      <c r="I70" s="114"/>
      <c r="J70" s="117"/>
    </row>
    <row r="71" spans="1:10" s="104" customFormat="1" ht="13.5" customHeight="1">
      <c r="A71" s="111"/>
      <c r="B71" s="102"/>
      <c r="C71" s="102"/>
      <c r="D71" s="102" t="s">
        <v>120</v>
      </c>
      <c r="E71" s="98"/>
      <c r="F71" s="103">
        <v>55.8</v>
      </c>
      <c r="G71" s="677"/>
      <c r="H71" s="113"/>
      <c r="I71" s="114"/>
      <c r="J71" s="117"/>
    </row>
    <row r="72" spans="1:10" s="114" customFormat="1" ht="13.5" customHeight="1">
      <c r="A72" s="457"/>
      <c r="B72" s="449"/>
      <c r="C72" s="449"/>
      <c r="D72" s="449" t="s">
        <v>1449</v>
      </c>
      <c r="E72" s="449"/>
      <c r="F72" s="458"/>
      <c r="G72" s="677"/>
      <c r="H72" s="459"/>
      <c r="J72" s="117"/>
    </row>
    <row r="73" spans="1:10" s="104" customFormat="1" ht="13.5" customHeight="1">
      <c r="A73" s="97">
        <v>29</v>
      </c>
      <c r="B73" s="110">
        <v>622</v>
      </c>
      <c r="C73" s="98">
        <v>622321121</v>
      </c>
      <c r="D73" s="98" t="s">
        <v>121</v>
      </c>
      <c r="E73" s="98" t="s">
        <v>48</v>
      </c>
      <c r="F73" s="99">
        <f>F74</f>
        <v>1832.7</v>
      </c>
      <c r="G73" s="673"/>
      <c r="H73" s="100">
        <f>F73*G73</f>
        <v>0</v>
      </c>
      <c r="J73" s="101"/>
    </row>
    <row r="74" spans="1:10" s="104" customFormat="1" ht="13.8" customHeight="1">
      <c r="A74" s="111"/>
      <c r="B74" s="102"/>
      <c r="C74" s="102"/>
      <c r="D74" s="102" t="s">
        <v>1458</v>
      </c>
      <c r="E74" s="102"/>
      <c r="F74" s="112">
        <v>1832.7</v>
      </c>
      <c r="G74" s="677"/>
      <c r="H74" s="113"/>
      <c r="I74" s="114"/>
      <c r="J74" s="117"/>
    </row>
    <row r="75" spans="1:10" s="114" customFormat="1" ht="13.5" customHeight="1">
      <c r="A75" s="457"/>
      <c r="B75" s="449"/>
      <c r="C75" s="449"/>
      <c r="D75" s="449" t="s">
        <v>1449</v>
      </c>
      <c r="E75" s="449"/>
      <c r="F75" s="458"/>
      <c r="G75" s="677"/>
      <c r="H75" s="459"/>
      <c r="J75" s="117"/>
    </row>
    <row r="76" spans="1:10" s="104" customFormat="1" ht="13.5" customHeight="1">
      <c r="A76" s="97">
        <v>30</v>
      </c>
      <c r="B76" s="110">
        <v>622</v>
      </c>
      <c r="C76" s="98">
        <v>621131101</v>
      </c>
      <c r="D76" s="98" t="s">
        <v>122</v>
      </c>
      <c r="E76" s="98" t="s">
        <v>48</v>
      </c>
      <c r="F76" s="99">
        <f>F77</f>
        <v>1832.7</v>
      </c>
      <c r="G76" s="673"/>
      <c r="H76" s="100">
        <f>F76*G76</f>
        <v>0</v>
      </c>
      <c r="J76" s="101"/>
    </row>
    <row r="77" spans="1:10" s="104" customFormat="1" ht="13.2" customHeight="1">
      <c r="A77" s="111"/>
      <c r="B77" s="102"/>
      <c r="C77" s="102"/>
      <c r="D77" s="102" t="s">
        <v>1460</v>
      </c>
      <c r="E77" s="102"/>
      <c r="F77" s="112">
        <v>1832.7</v>
      </c>
      <c r="G77" s="677"/>
      <c r="H77" s="113"/>
      <c r="I77" s="114"/>
      <c r="J77" s="117"/>
    </row>
    <row r="78" spans="1:10" s="114" customFormat="1" ht="13.5" customHeight="1">
      <c r="A78" s="457"/>
      <c r="B78" s="449"/>
      <c r="C78" s="449"/>
      <c r="D78" s="449" t="s">
        <v>1449</v>
      </c>
      <c r="E78" s="449"/>
      <c r="F78" s="458"/>
      <c r="G78" s="677"/>
      <c r="H78" s="459"/>
      <c r="J78" s="117"/>
    </row>
    <row r="79" spans="1:10" s="104" customFormat="1" ht="13.5" customHeight="1">
      <c r="A79" s="97">
        <v>31</v>
      </c>
      <c r="B79" s="110" t="s">
        <v>123</v>
      </c>
      <c r="C79" s="98">
        <v>621331111</v>
      </c>
      <c r="D79" s="98" t="s">
        <v>124</v>
      </c>
      <c r="E79" s="98" t="s">
        <v>48</v>
      </c>
      <c r="F79" s="99">
        <f>F80</f>
        <v>17.8</v>
      </c>
      <c r="G79" s="673"/>
      <c r="H79" s="100">
        <f>F79*G79</f>
        <v>0</v>
      </c>
      <c r="J79" s="101"/>
    </row>
    <row r="80" spans="1:10" s="114" customFormat="1" ht="13.5" customHeight="1">
      <c r="A80" s="97"/>
      <c r="B80" s="98"/>
      <c r="C80" s="98"/>
      <c r="D80" s="102" t="s">
        <v>1459</v>
      </c>
      <c r="E80" s="98"/>
      <c r="F80" s="103">
        <v>17.8</v>
      </c>
      <c r="G80" s="673"/>
      <c r="H80" s="100"/>
      <c r="J80" s="101"/>
    </row>
    <row r="81" spans="1:10" s="114" customFormat="1" ht="13.5" customHeight="1">
      <c r="A81" s="457"/>
      <c r="B81" s="449"/>
      <c r="C81" s="449"/>
      <c r="D81" s="449" t="s">
        <v>1449</v>
      </c>
      <c r="E81" s="449"/>
      <c r="F81" s="458"/>
      <c r="G81" s="677"/>
      <c r="H81" s="459"/>
      <c r="J81" s="117"/>
    </row>
    <row r="82" spans="1:10" s="104" customFormat="1" ht="13.5" customHeight="1">
      <c r="A82" s="97">
        <v>32</v>
      </c>
      <c r="B82" s="110">
        <v>621</v>
      </c>
      <c r="C82" s="98">
        <v>621331101</v>
      </c>
      <c r="D82" s="98" t="s">
        <v>125</v>
      </c>
      <c r="E82" s="98" t="s">
        <v>48</v>
      </c>
      <c r="F82" s="99">
        <f>F83</f>
        <v>87.4</v>
      </c>
      <c r="G82" s="673"/>
      <c r="H82" s="100">
        <f>F82*G82</f>
        <v>0</v>
      </c>
      <c r="J82" s="101"/>
    </row>
    <row r="83" spans="1:10" s="114" customFormat="1" ht="27" customHeight="1">
      <c r="A83" s="97"/>
      <c r="B83" s="98"/>
      <c r="C83" s="98"/>
      <c r="D83" s="102" t="s">
        <v>126</v>
      </c>
      <c r="E83" s="98"/>
      <c r="F83" s="103">
        <v>87.4</v>
      </c>
      <c r="G83" s="673"/>
      <c r="H83" s="100"/>
      <c r="J83" s="101"/>
    </row>
    <row r="84" spans="1:10" s="114" customFormat="1" ht="13.5" customHeight="1">
      <c r="A84" s="457"/>
      <c r="B84" s="449"/>
      <c r="C84" s="449"/>
      <c r="D84" s="449" t="s">
        <v>1449</v>
      </c>
      <c r="E84" s="449"/>
      <c r="F84" s="458"/>
      <c r="G84" s="677"/>
      <c r="H84" s="459"/>
      <c r="J84" s="117"/>
    </row>
    <row r="85" spans="1:10" s="104" customFormat="1" ht="13.5" customHeight="1">
      <c r="A85" s="97">
        <v>33</v>
      </c>
      <c r="B85" s="110">
        <v>622</v>
      </c>
      <c r="C85" s="98">
        <v>622335202</v>
      </c>
      <c r="D85" s="98" t="s">
        <v>127</v>
      </c>
      <c r="E85" s="98" t="s">
        <v>48</v>
      </c>
      <c r="F85" s="99">
        <f>SUM(F86:F88)</f>
        <v>114.6</v>
      </c>
      <c r="G85" s="673"/>
      <c r="H85" s="100">
        <f>F85*G85</f>
        <v>0</v>
      </c>
      <c r="J85" s="101"/>
    </row>
    <row r="86" spans="1:10" s="114" customFormat="1" ht="15" customHeight="1">
      <c r="A86" s="97"/>
      <c r="B86" s="98"/>
      <c r="C86" s="98"/>
      <c r="D86" s="102" t="s">
        <v>1461</v>
      </c>
      <c r="E86" s="98"/>
      <c r="F86" s="103">
        <v>60</v>
      </c>
      <c r="G86" s="673"/>
      <c r="H86" s="100"/>
      <c r="J86" s="101"/>
    </row>
    <row r="87" spans="1:10" s="114" customFormat="1" ht="13.5" customHeight="1">
      <c r="A87" s="97"/>
      <c r="B87" s="98"/>
      <c r="C87" s="98"/>
      <c r="D87" s="102" t="s">
        <v>128</v>
      </c>
      <c r="E87" s="98"/>
      <c r="F87" s="103">
        <v>24.1</v>
      </c>
      <c r="G87" s="673"/>
      <c r="H87" s="100"/>
      <c r="J87" s="101"/>
    </row>
    <row r="88" spans="1:10" s="114" customFormat="1" ht="13.5" customHeight="1">
      <c r="A88" s="97"/>
      <c r="B88" s="98"/>
      <c r="C88" s="98"/>
      <c r="D88" s="102" t="s">
        <v>1462</v>
      </c>
      <c r="E88" s="98"/>
      <c r="F88" s="103">
        <v>30.5</v>
      </c>
      <c r="G88" s="673"/>
      <c r="H88" s="100"/>
      <c r="J88" s="101"/>
    </row>
    <row r="89" spans="1:10" s="104" customFormat="1" ht="13.5" customHeight="1">
      <c r="A89" s="97">
        <v>34</v>
      </c>
      <c r="B89" s="110">
        <v>622</v>
      </c>
      <c r="C89" s="98" t="s">
        <v>129</v>
      </c>
      <c r="D89" s="98" t="s">
        <v>130</v>
      </c>
      <c r="E89" s="98" t="s">
        <v>48</v>
      </c>
      <c r="F89" s="99">
        <f>F90</f>
        <v>80</v>
      </c>
      <c r="G89" s="673"/>
      <c r="H89" s="100">
        <f>F89*G89</f>
        <v>0</v>
      </c>
      <c r="J89" s="101"/>
    </row>
    <row r="90" spans="1:10" s="114" customFormat="1" ht="13.8" customHeight="1">
      <c r="A90" s="97"/>
      <c r="B90" s="98"/>
      <c r="C90" s="98"/>
      <c r="D90" s="102" t="s">
        <v>1463</v>
      </c>
      <c r="E90" s="98"/>
      <c r="F90" s="103">
        <v>80</v>
      </c>
      <c r="G90" s="673"/>
      <c r="H90" s="100"/>
      <c r="J90" s="101"/>
    </row>
    <row r="91" spans="1:10" s="104" customFormat="1" ht="13.5" customHeight="1">
      <c r="A91" s="97">
        <v>35</v>
      </c>
      <c r="B91" s="110">
        <v>629</v>
      </c>
      <c r="C91" s="98" t="s">
        <v>131</v>
      </c>
      <c r="D91" s="98" t="s">
        <v>132</v>
      </c>
      <c r="E91" s="98" t="s">
        <v>48</v>
      </c>
      <c r="F91" s="99">
        <f>F92</f>
        <v>200.1</v>
      </c>
      <c r="G91" s="673"/>
      <c r="H91" s="100">
        <f>F91*G91</f>
        <v>0</v>
      </c>
      <c r="J91" s="101"/>
    </row>
    <row r="92" spans="1:10" s="104" customFormat="1" ht="13.8" customHeight="1">
      <c r="A92" s="111"/>
      <c r="B92" s="102"/>
      <c r="C92" s="102"/>
      <c r="D92" s="102" t="s">
        <v>1464</v>
      </c>
      <c r="E92" s="102"/>
      <c r="F92" s="112">
        <v>200.1</v>
      </c>
      <c r="G92" s="677"/>
      <c r="H92" s="113"/>
      <c r="I92" s="114"/>
      <c r="J92" s="117"/>
    </row>
    <row r="93" spans="1:10" s="104" customFormat="1" ht="13.5" customHeight="1">
      <c r="A93" s="97">
        <v>36</v>
      </c>
      <c r="B93" s="110" t="s">
        <v>133</v>
      </c>
      <c r="C93" s="98">
        <v>632451421</v>
      </c>
      <c r="D93" s="98" t="s">
        <v>134</v>
      </c>
      <c r="E93" s="98" t="s">
        <v>48</v>
      </c>
      <c r="F93" s="99">
        <f>F94</f>
        <v>0.2</v>
      </c>
      <c r="G93" s="673"/>
      <c r="H93" s="100">
        <f>F93*G93</f>
        <v>0</v>
      </c>
      <c r="J93" s="101"/>
    </row>
    <row r="94" spans="1:10" s="104" customFormat="1" ht="13.5" customHeight="1">
      <c r="A94" s="111"/>
      <c r="B94" s="102"/>
      <c r="C94" s="102"/>
      <c r="D94" s="102" t="s">
        <v>135</v>
      </c>
      <c r="E94" s="102"/>
      <c r="F94" s="112">
        <v>0.2</v>
      </c>
      <c r="G94" s="677"/>
      <c r="H94" s="113"/>
      <c r="I94" s="114"/>
      <c r="J94" s="117"/>
    </row>
    <row r="95" spans="1:8" ht="15" customHeight="1">
      <c r="A95" s="93"/>
      <c r="B95" s="94"/>
      <c r="C95" s="94">
        <v>9</v>
      </c>
      <c r="D95" s="94" t="s">
        <v>136</v>
      </c>
      <c r="E95" s="94"/>
      <c r="F95" s="95"/>
      <c r="G95" s="678"/>
      <c r="H95" s="96">
        <f>SUM(H96:H148)</f>
        <v>0</v>
      </c>
    </row>
    <row r="96" spans="1:10" s="104" customFormat="1" ht="27" customHeight="1">
      <c r="A96" s="97">
        <v>37</v>
      </c>
      <c r="B96" s="110">
        <v>941</v>
      </c>
      <c r="C96" s="98">
        <v>941121112</v>
      </c>
      <c r="D96" s="98" t="s">
        <v>140</v>
      </c>
      <c r="E96" s="98" t="s">
        <v>48</v>
      </c>
      <c r="F96" s="99">
        <f>F97</f>
        <v>3748.2</v>
      </c>
      <c r="G96" s="673"/>
      <c r="H96" s="100">
        <f>F96*G96</f>
        <v>0</v>
      </c>
      <c r="J96" s="101"/>
    </row>
    <row r="97" spans="1:10" s="114" customFormat="1" ht="27" customHeight="1">
      <c r="A97" s="97"/>
      <c r="B97" s="98"/>
      <c r="C97" s="98"/>
      <c r="D97" s="102" t="s">
        <v>141</v>
      </c>
      <c r="E97" s="98"/>
      <c r="F97" s="103">
        <f>4648.2-900</f>
        <v>3748.2</v>
      </c>
      <c r="G97" s="673"/>
      <c r="H97" s="100"/>
      <c r="J97" s="101"/>
    </row>
    <row r="98" spans="1:10" s="104" customFormat="1" ht="27" customHeight="1">
      <c r="A98" s="97">
        <v>38</v>
      </c>
      <c r="B98" s="110">
        <v>941</v>
      </c>
      <c r="C98" s="98">
        <v>941121212</v>
      </c>
      <c r="D98" s="98" t="s">
        <v>142</v>
      </c>
      <c r="E98" s="98" t="s">
        <v>48</v>
      </c>
      <c r="F98" s="99">
        <f>F99</f>
        <v>337338</v>
      </c>
      <c r="G98" s="673"/>
      <c r="H98" s="100">
        <f>F98*G98</f>
        <v>0</v>
      </c>
      <c r="J98" s="101"/>
    </row>
    <row r="99" spans="1:10" s="114" customFormat="1" ht="13.5" customHeight="1">
      <c r="A99" s="97"/>
      <c r="B99" s="98"/>
      <c r="C99" s="98"/>
      <c r="D99" s="102" t="s">
        <v>143</v>
      </c>
      <c r="E99" s="98"/>
      <c r="F99" s="103">
        <f>90*4648.2-81000</f>
        <v>337338</v>
      </c>
      <c r="G99" s="673"/>
      <c r="H99" s="100"/>
      <c r="J99" s="101"/>
    </row>
    <row r="100" spans="1:10" s="104" customFormat="1" ht="27" customHeight="1">
      <c r="A100" s="97">
        <v>39</v>
      </c>
      <c r="B100" s="110" t="s">
        <v>144</v>
      </c>
      <c r="C100" s="98">
        <v>941121812</v>
      </c>
      <c r="D100" s="98" t="s">
        <v>145</v>
      </c>
      <c r="E100" s="98" t="s">
        <v>48</v>
      </c>
      <c r="F100" s="99">
        <f>F96</f>
        <v>3748.2</v>
      </c>
      <c r="G100" s="673"/>
      <c r="H100" s="100">
        <f>F100*G100</f>
        <v>0</v>
      </c>
      <c r="J100" s="101"/>
    </row>
    <row r="101" spans="1:10" s="114" customFormat="1" ht="27" customHeight="1">
      <c r="A101" s="97"/>
      <c r="B101" s="98"/>
      <c r="C101" s="98"/>
      <c r="D101" s="102" t="s">
        <v>146</v>
      </c>
      <c r="E101" s="98"/>
      <c r="F101" s="103"/>
      <c r="G101" s="673"/>
      <c r="H101" s="100"/>
      <c r="J101" s="101"/>
    </row>
    <row r="102" spans="1:10" s="104" customFormat="1" ht="13.5" customHeight="1">
      <c r="A102" s="97">
        <v>40</v>
      </c>
      <c r="B102" s="110">
        <v>944</v>
      </c>
      <c r="C102" s="98">
        <v>944511111</v>
      </c>
      <c r="D102" s="98" t="s">
        <v>147</v>
      </c>
      <c r="E102" s="98" t="s">
        <v>48</v>
      </c>
      <c r="F102" s="99">
        <f>F103</f>
        <v>3748.2</v>
      </c>
      <c r="G102" s="673"/>
      <c r="H102" s="100">
        <f>F102*G102</f>
        <v>0</v>
      </c>
      <c r="J102" s="101"/>
    </row>
    <row r="103" spans="1:10" s="104" customFormat="1" ht="13.5" customHeight="1">
      <c r="A103" s="111"/>
      <c r="B103" s="102"/>
      <c r="C103" s="102"/>
      <c r="D103" s="102" t="s">
        <v>148</v>
      </c>
      <c r="E103" s="102"/>
      <c r="F103" s="112">
        <f>F96</f>
        <v>3748.2</v>
      </c>
      <c r="G103" s="677"/>
      <c r="H103" s="113"/>
      <c r="I103" s="114"/>
      <c r="J103" s="117"/>
    </row>
    <row r="104" spans="1:10" s="104" customFormat="1" ht="13.5" customHeight="1">
      <c r="A104" s="97">
        <v>41</v>
      </c>
      <c r="B104" s="110">
        <v>944</v>
      </c>
      <c r="C104" s="98">
        <v>944511211</v>
      </c>
      <c r="D104" s="98" t="s">
        <v>149</v>
      </c>
      <c r="E104" s="98" t="s">
        <v>48</v>
      </c>
      <c r="F104" s="99">
        <f>F105</f>
        <v>337338</v>
      </c>
      <c r="G104" s="673"/>
      <c r="H104" s="100">
        <f>F104*G104</f>
        <v>0</v>
      </c>
      <c r="J104" s="101"/>
    </row>
    <row r="105" spans="1:10" s="104" customFormat="1" ht="13.5" customHeight="1">
      <c r="A105" s="111"/>
      <c r="B105" s="102"/>
      <c r="C105" s="102"/>
      <c r="D105" s="102" t="s">
        <v>143</v>
      </c>
      <c r="E105" s="102"/>
      <c r="F105" s="112">
        <f>90*4648.2-81000</f>
        <v>337338</v>
      </c>
      <c r="G105" s="677"/>
      <c r="H105" s="113"/>
      <c r="I105" s="114"/>
      <c r="J105" s="117"/>
    </row>
    <row r="106" spans="1:10" s="104" customFormat="1" ht="13.5" customHeight="1">
      <c r="A106" s="97">
        <v>42</v>
      </c>
      <c r="B106" s="110">
        <v>944</v>
      </c>
      <c r="C106" s="98">
        <v>944511811</v>
      </c>
      <c r="D106" s="98" t="s">
        <v>150</v>
      </c>
      <c r="E106" s="98" t="s">
        <v>48</v>
      </c>
      <c r="F106" s="99">
        <f>F102</f>
        <v>3748.2</v>
      </c>
      <c r="G106" s="673"/>
      <c r="H106" s="100">
        <f>F106*G106</f>
        <v>0</v>
      </c>
      <c r="J106" s="101"/>
    </row>
    <row r="107" spans="1:10" s="104" customFormat="1" ht="13.5" customHeight="1">
      <c r="A107" s="97">
        <v>43</v>
      </c>
      <c r="B107" s="110">
        <v>944</v>
      </c>
      <c r="C107" s="98">
        <v>944711112</v>
      </c>
      <c r="D107" s="98" t="s">
        <v>151</v>
      </c>
      <c r="E107" s="98" t="s">
        <v>139</v>
      </c>
      <c r="F107" s="99">
        <f>F108</f>
        <v>43</v>
      </c>
      <c r="G107" s="673"/>
      <c r="H107" s="100">
        <f>F107*G107</f>
        <v>0</v>
      </c>
      <c r="J107" s="101"/>
    </row>
    <row r="108" spans="1:10" s="114" customFormat="1" ht="27" customHeight="1">
      <c r="A108" s="97"/>
      <c r="B108" s="98"/>
      <c r="C108" s="98"/>
      <c r="D108" s="102" t="s">
        <v>152</v>
      </c>
      <c r="E108" s="98"/>
      <c r="F108" s="103">
        <v>43</v>
      </c>
      <c r="G108" s="673"/>
      <c r="H108" s="100"/>
      <c r="J108" s="101"/>
    </row>
    <row r="109" spans="1:10" s="104" customFormat="1" ht="13.5" customHeight="1">
      <c r="A109" s="97">
        <v>44</v>
      </c>
      <c r="B109" s="110">
        <v>944</v>
      </c>
      <c r="C109" s="98">
        <v>944711212</v>
      </c>
      <c r="D109" s="98" t="s">
        <v>153</v>
      </c>
      <c r="E109" s="98" t="s">
        <v>139</v>
      </c>
      <c r="F109" s="99">
        <f>F110</f>
        <v>3870</v>
      </c>
      <c r="G109" s="673"/>
      <c r="H109" s="100">
        <f>F109*G109</f>
        <v>0</v>
      </c>
      <c r="J109" s="101"/>
    </row>
    <row r="110" spans="1:10" s="104" customFormat="1" ht="13.5" customHeight="1">
      <c r="A110" s="111"/>
      <c r="B110" s="102"/>
      <c r="C110" s="102"/>
      <c r="D110" s="102" t="s">
        <v>154</v>
      </c>
      <c r="E110" s="102"/>
      <c r="F110" s="112">
        <f>90*63-1800</f>
        <v>3870</v>
      </c>
      <c r="G110" s="677"/>
      <c r="H110" s="113"/>
      <c r="I110" s="114"/>
      <c r="J110" s="117"/>
    </row>
    <row r="111" spans="1:10" s="104" customFormat="1" ht="13.5" customHeight="1">
      <c r="A111" s="97">
        <v>45</v>
      </c>
      <c r="B111" s="110">
        <v>944</v>
      </c>
      <c r="C111" s="98">
        <v>944711812</v>
      </c>
      <c r="D111" s="98" t="s">
        <v>155</v>
      </c>
      <c r="E111" s="98" t="s">
        <v>139</v>
      </c>
      <c r="F111" s="99">
        <f>F107</f>
        <v>43</v>
      </c>
      <c r="G111" s="673"/>
      <c r="H111" s="100">
        <f>F111*G111</f>
        <v>0</v>
      </c>
      <c r="J111" s="101"/>
    </row>
    <row r="112" spans="1:10" s="104" customFormat="1" ht="13.5" customHeight="1">
      <c r="A112" s="97">
        <v>46</v>
      </c>
      <c r="B112" s="110" t="s">
        <v>156</v>
      </c>
      <c r="C112" s="98">
        <v>952901111</v>
      </c>
      <c r="D112" s="98" t="s">
        <v>157</v>
      </c>
      <c r="E112" s="98" t="s">
        <v>48</v>
      </c>
      <c r="F112" s="99">
        <f>F113</f>
        <v>328.6</v>
      </c>
      <c r="G112" s="673"/>
      <c r="H112" s="100">
        <f>F112*G112</f>
        <v>0</v>
      </c>
      <c r="J112" s="101"/>
    </row>
    <row r="113" spans="1:10" s="114" customFormat="1" ht="13.5" customHeight="1">
      <c r="A113" s="97"/>
      <c r="B113" s="98"/>
      <c r="C113" s="98"/>
      <c r="D113" s="102" t="s">
        <v>158</v>
      </c>
      <c r="E113" s="98"/>
      <c r="F113" s="103">
        <v>328.6</v>
      </c>
      <c r="G113" s="673"/>
      <c r="H113" s="100"/>
      <c r="J113" s="101"/>
    </row>
    <row r="114" spans="1:10" s="104" customFormat="1" ht="13.5" customHeight="1">
      <c r="A114" s="97">
        <v>47</v>
      </c>
      <c r="B114" s="110">
        <v>962</v>
      </c>
      <c r="C114" s="98">
        <v>962031133</v>
      </c>
      <c r="D114" s="98" t="s">
        <v>159</v>
      </c>
      <c r="E114" s="98" t="s">
        <v>48</v>
      </c>
      <c r="F114" s="99">
        <f>F115</f>
        <v>17</v>
      </c>
      <c r="G114" s="673"/>
      <c r="H114" s="100">
        <f>F114*G114</f>
        <v>0</v>
      </c>
      <c r="J114" s="101"/>
    </row>
    <row r="115" spans="1:10" s="104" customFormat="1" ht="13.5" customHeight="1">
      <c r="A115" s="111"/>
      <c r="B115" s="102"/>
      <c r="C115" s="102"/>
      <c r="D115" s="102" t="s">
        <v>160</v>
      </c>
      <c r="E115" s="102"/>
      <c r="F115" s="112">
        <v>17</v>
      </c>
      <c r="G115" s="677"/>
      <c r="H115" s="113"/>
      <c r="I115" s="114"/>
      <c r="J115" s="117"/>
    </row>
    <row r="116" spans="1:10" s="104" customFormat="1" ht="13.5" customHeight="1">
      <c r="A116" s="97">
        <v>48</v>
      </c>
      <c r="B116" s="110">
        <v>962</v>
      </c>
      <c r="C116" s="98">
        <v>962032241</v>
      </c>
      <c r="D116" s="98" t="s">
        <v>161</v>
      </c>
      <c r="E116" s="98" t="s">
        <v>51</v>
      </c>
      <c r="F116" s="99">
        <f>SUM(F117:F118)</f>
        <v>24.5</v>
      </c>
      <c r="G116" s="673"/>
      <c r="H116" s="100">
        <f>F116*G116</f>
        <v>0</v>
      </c>
      <c r="J116" s="101"/>
    </row>
    <row r="117" spans="1:10" s="104" customFormat="1" ht="13.5" customHeight="1">
      <c r="A117" s="111"/>
      <c r="B117" s="102"/>
      <c r="C117" s="102"/>
      <c r="D117" s="102" t="s">
        <v>162</v>
      </c>
      <c r="E117" s="102"/>
      <c r="F117" s="112">
        <v>3.2</v>
      </c>
      <c r="G117" s="677"/>
      <c r="H117" s="113"/>
      <c r="I117" s="114"/>
      <c r="J117" s="117"/>
    </row>
    <row r="118" spans="1:10" s="104" customFormat="1" ht="13.5" customHeight="1">
      <c r="A118" s="111"/>
      <c r="B118" s="102"/>
      <c r="C118" s="102"/>
      <c r="D118" s="102" t="s">
        <v>163</v>
      </c>
      <c r="E118" s="102"/>
      <c r="F118" s="112">
        <v>21.3</v>
      </c>
      <c r="G118" s="677"/>
      <c r="H118" s="113"/>
      <c r="I118" s="114"/>
      <c r="J118" s="117"/>
    </row>
    <row r="119" spans="1:10" s="104" customFormat="1" ht="13.5" customHeight="1">
      <c r="A119" s="97">
        <v>49</v>
      </c>
      <c r="B119" s="110">
        <v>963</v>
      </c>
      <c r="C119" s="98">
        <v>963042819</v>
      </c>
      <c r="D119" s="98" t="s">
        <v>164</v>
      </c>
      <c r="E119" s="98" t="s">
        <v>139</v>
      </c>
      <c r="F119" s="99">
        <f>SUM(F120:F121)</f>
        <v>7.1000000000000005</v>
      </c>
      <c r="G119" s="673"/>
      <c r="H119" s="100">
        <f>F119*G119</f>
        <v>0</v>
      </c>
      <c r="J119" s="101"/>
    </row>
    <row r="120" spans="1:10" s="104" customFormat="1" ht="13.5" customHeight="1">
      <c r="A120" s="111"/>
      <c r="B120" s="102"/>
      <c r="C120" s="102"/>
      <c r="D120" s="102" t="s">
        <v>165</v>
      </c>
      <c r="E120" s="102"/>
      <c r="F120" s="112">
        <f>1.1+1.2+3.1</f>
        <v>5.4</v>
      </c>
      <c r="G120" s="677"/>
      <c r="H120" s="113"/>
      <c r="I120" s="114"/>
      <c r="J120" s="117"/>
    </row>
    <row r="121" spans="1:10" s="104" customFormat="1" ht="13.5" customHeight="1">
      <c r="A121" s="111"/>
      <c r="B121" s="102"/>
      <c r="C121" s="102"/>
      <c r="D121" s="102" t="s">
        <v>166</v>
      </c>
      <c r="E121" s="102"/>
      <c r="F121" s="112">
        <v>1.7</v>
      </c>
      <c r="G121" s="677"/>
      <c r="H121" s="113"/>
      <c r="I121" s="114"/>
      <c r="J121" s="117"/>
    </row>
    <row r="122" spans="1:10" s="104" customFormat="1" ht="13.5" customHeight="1">
      <c r="A122" s="97">
        <v>50</v>
      </c>
      <c r="B122" s="110">
        <v>965</v>
      </c>
      <c r="C122" s="98">
        <v>965043341</v>
      </c>
      <c r="D122" s="98" t="s">
        <v>167</v>
      </c>
      <c r="E122" s="98" t="s">
        <v>51</v>
      </c>
      <c r="F122" s="99">
        <f>F123</f>
        <v>1.7</v>
      </c>
      <c r="G122" s="673"/>
      <c r="H122" s="100">
        <f>F122*G122</f>
        <v>0</v>
      </c>
      <c r="J122" s="101"/>
    </row>
    <row r="123" spans="1:10" s="104" customFormat="1" ht="13.5" customHeight="1">
      <c r="A123" s="111"/>
      <c r="B123" s="102"/>
      <c r="C123" s="102"/>
      <c r="D123" s="102" t="s">
        <v>168</v>
      </c>
      <c r="E123" s="102"/>
      <c r="F123" s="112">
        <v>1.7</v>
      </c>
      <c r="G123" s="677"/>
      <c r="H123" s="113"/>
      <c r="I123" s="114"/>
      <c r="J123" s="117"/>
    </row>
    <row r="124" spans="1:10" s="104" customFormat="1" ht="13.5" customHeight="1">
      <c r="A124" s="97">
        <v>51</v>
      </c>
      <c r="B124" s="110">
        <v>965</v>
      </c>
      <c r="C124" s="98">
        <v>965043431</v>
      </c>
      <c r="D124" s="98" t="s">
        <v>169</v>
      </c>
      <c r="E124" s="98" t="s">
        <v>51</v>
      </c>
      <c r="F124" s="99">
        <f>F125</f>
        <v>11.4</v>
      </c>
      <c r="G124" s="673"/>
      <c r="H124" s="100">
        <f>F124*G124</f>
        <v>0</v>
      </c>
      <c r="J124" s="101"/>
    </row>
    <row r="125" spans="1:10" s="104" customFormat="1" ht="27" customHeight="1">
      <c r="A125" s="111"/>
      <c r="B125" s="102"/>
      <c r="C125" s="102"/>
      <c r="D125" s="102" t="s">
        <v>170</v>
      </c>
      <c r="E125" s="102"/>
      <c r="F125" s="112">
        <v>11.4</v>
      </c>
      <c r="G125" s="677"/>
      <c r="H125" s="113"/>
      <c r="I125" s="114"/>
      <c r="J125" s="117"/>
    </row>
    <row r="126" spans="1:10" s="104" customFormat="1" ht="13.5" customHeight="1">
      <c r="A126" s="97">
        <v>52</v>
      </c>
      <c r="B126" s="110">
        <v>965</v>
      </c>
      <c r="C126" s="98">
        <v>965082923</v>
      </c>
      <c r="D126" s="98" t="s">
        <v>171</v>
      </c>
      <c r="E126" s="98" t="s">
        <v>48</v>
      </c>
      <c r="F126" s="99">
        <f>F127</f>
        <v>328.6</v>
      </c>
      <c r="G126" s="673"/>
      <c r="H126" s="100">
        <f>F126*G126</f>
        <v>0</v>
      </c>
      <c r="J126" s="101"/>
    </row>
    <row r="127" spans="1:10" s="104" customFormat="1" ht="13.5" customHeight="1">
      <c r="A127" s="111"/>
      <c r="B127" s="102"/>
      <c r="C127" s="102"/>
      <c r="D127" s="102" t="s">
        <v>172</v>
      </c>
      <c r="E127" s="102"/>
      <c r="F127" s="112">
        <v>328.6</v>
      </c>
      <c r="G127" s="677"/>
      <c r="H127" s="113"/>
      <c r="I127" s="114"/>
      <c r="J127" s="117"/>
    </row>
    <row r="128" spans="1:10" s="104" customFormat="1" ht="27" customHeight="1">
      <c r="A128" s="97">
        <v>53</v>
      </c>
      <c r="B128" s="110">
        <v>966</v>
      </c>
      <c r="C128" s="98">
        <v>966073123</v>
      </c>
      <c r="D128" s="98" t="s">
        <v>173</v>
      </c>
      <c r="E128" s="98" t="s">
        <v>48</v>
      </c>
      <c r="F128" s="99">
        <f>SUM(F129:F129)</f>
        <v>18.6</v>
      </c>
      <c r="G128" s="673"/>
      <c r="H128" s="100">
        <f>F128*G128</f>
        <v>0</v>
      </c>
      <c r="J128" s="101"/>
    </row>
    <row r="129" spans="1:10" s="104" customFormat="1" ht="13.5" customHeight="1">
      <c r="A129" s="111"/>
      <c r="B129" s="102"/>
      <c r="C129" s="102"/>
      <c r="D129" s="102" t="s">
        <v>174</v>
      </c>
      <c r="E129" s="102"/>
      <c r="F129" s="112">
        <v>18.6</v>
      </c>
      <c r="G129" s="677"/>
      <c r="H129" s="113"/>
      <c r="I129" s="114"/>
      <c r="J129" s="117"/>
    </row>
    <row r="130" spans="1:10" s="104" customFormat="1" ht="13.5" customHeight="1">
      <c r="A130" s="97">
        <v>54</v>
      </c>
      <c r="B130" s="110">
        <v>967</v>
      </c>
      <c r="C130" s="98">
        <v>967031132</v>
      </c>
      <c r="D130" s="98" t="s">
        <v>175</v>
      </c>
      <c r="E130" s="98" t="s">
        <v>48</v>
      </c>
      <c r="F130" s="99">
        <f>F131</f>
        <v>65</v>
      </c>
      <c r="G130" s="673"/>
      <c r="H130" s="100">
        <f>F130*G130</f>
        <v>0</v>
      </c>
      <c r="J130" s="101"/>
    </row>
    <row r="131" spans="1:10" s="114" customFormat="1" ht="27" customHeight="1">
      <c r="A131" s="97"/>
      <c r="B131" s="98"/>
      <c r="C131" s="98"/>
      <c r="D131" s="102" t="s">
        <v>176</v>
      </c>
      <c r="E131" s="98"/>
      <c r="F131" s="103">
        <v>65</v>
      </c>
      <c r="G131" s="673"/>
      <c r="H131" s="100"/>
      <c r="J131" s="101"/>
    </row>
    <row r="132" spans="1:10" s="104" customFormat="1" ht="13.5" customHeight="1">
      <c r="A132" s="97">
        <v>55</v>
      </c>
      <c r="B132" s="110">
        <v>971</v>
      </c>
      <c r="C132" s="98">
        <v>971033441</v>
      </c>
      <c r="D132" s="98" t="s">
        <v>177</v>
      </c>
      <c r="E132" s="98" t="s">
        <v>25</v>
      </c>
      <c r="F132" s="99">
        <f>F133</f>
        <v>4</v>
      </c>
      <c r="G132" s="673"/>
      <c r="H132" s="100">
        <f>F132*G132</f>
        <v>0</v>
      </c>
      <c r="J132" s="101"/>
    </row>
    <row r="133" spans="1:10" s="104" customFormat="1" ht="13.5" customHeight="1">
      <c r="A133" s="111"/>
      <c r="B133" s="102"/>
      <c r="C133" s="102"/>
      <c r="D133" s="102" t="s">
        <v>178</v>
      </c>
      <c r="E133" s="102"/>
      <c r="F133" s="112">
        <v>4</v>
      </c>
      <c r="G133" s="677"/>
      <c r="H133" s="113"/>
      <c r="I133" s="114"/>
      <c r="J133" s="117"/>
    </row>
    <row r="134" spans="1:10" s="104" customFormat="1" ht="13.5" customHeight="1">
      <c r="A134" s="97">
        <v>56</v>
      </c>
      <c r="B134" s="110">
        <v>974</v>
      </c>
      <c r="C134" s="98">
        <v>974042574</v>
      </c>
      <c r="D134" s="98" t="s">
        <v>179</v>
      </c>
      <c r="E134" s="98" t="s">
        <v>139</v>
      </c>
      <c r="F134" s="99">
        <f>F135</f>
        <v>7</v>
      </c>
      <c r="G134" s="673"/>
      <c r="H134" s="100">
        <f>F134*G134</f>
        <v>0</v>
      </c>
      <c r="J134" s="101"/>
    </row>
    <row r="135" spans="1:10" s="114" customFormat="1" ht="13.5" customHeight="1">
      <c r="A135" s="97"/>
      <c r="B135" s="98"/>
      <c r="C135" s="98"/>
      <c r="D135" s="102" t="s">
        <v>180</v>
      </c>
      <c r="E135" s="98"/>
      <c r="F135" s="103">
        <v>7</v>
      </c>
      <c r="G135" s="673"/>
      <c r="H135" s="100"/>
      <c r="J135" s="101"/>
    </row>
    <row r="136" spans="1:10" s="104" customFormat="1" ht="13.5" customHeight="1">
      <c r="A136" s="97">
        <v>57</v>
      </c>
      <c r="B136" s="110">
        <v>978</v>
      </c>
      <c r="C136" s="98">
        <v>978036141</v>
      </c>
      <c r="D136" s="98" t="s">
        <v>181</v>
      </c>
      <c r="E136" s="98" t="s">
        <v>48</v>
      </c>
      <c r="F136" s="99">
        <f>F137</f>
        <v>9.1</v>
      </c>
      <c r="G136" s="673"/>
      <c r="H136" s="100">
        <f>F136*G136</f>
        <v>0</v>
      </c>
      <c r="J136" s="101"/>
    </row>
    <row r="137" spans="1:10" s="104" customFormat="1" ht="13.5" customHeight="1">
      <c r="A137" s="111"/>
      <c r="B137" s="102"/>
      <c r="C137" s="102"/>
      <c r="D137" s="102" t="s">
        <v>182</v>
      </c>
      <c r="E137" s="102"/>
      <c r="F137" s="112">
        <v>9.1</v>
      </c>
      <c r="G137" s="677"/>
      <c r="H137" s="113"/>
      <c r="I137" s="114"/>
      <c r="J137" s="117"/>
    </row>
    <row r="138" spans="1:10" s="104" customFormat="1" ht="13.5" customHeight="1">
      <c r="A138" s="97">
        <v>58</v>
      </c>
      <c r="B138" s="110">
        <v>978</v>
      </c>
      <c r="C138" s="98">
        <v>978036191</v>
      </c>
      <c r="D138" s="98" t="s">
        <v>183</v>
      </c>
      <c r="E138" s="98" t="s">
        <v>48</v>
      </c>
      <c r="F138" s="99">
        <f>SUM(F139:F142)</f>
        <v>1095.4</v>
      </c>
      <c r="G138" s="673"/>
      <c r="H138" s="100">
        <f>F138*G138</f>
        <v>0</v>
      </c>
      <c r="J138" s="101"/>
    </row>
    <row r="139" spans="1:10" s="104" customFormat="1" ht="13.5" customHeight="1">
      <c r="A139" s="111"/>
      <c r="B139" s="102"/>
      <c r="C139" s="102"/>
      <c r="D139" s="102" t="s">
        <v>184</v>
      </c>
      <c r="E139" s="102"/>
      <c r="F139" s="112">
        <v>92.5</v>
      </c>
      <c r="G139" s="677"/>
      <c r="H139" s="113"/>
      <c r="I139" s="114"/>
      <c r="J139" s="117"/>
    </row>
    <row r="140" spans="1:10" s="104" customFormat="1" ht="13.5" customHeight="1">
      <c r="A140" s="111"/>
      <c r="B140" s="102"/>
      <c r="C140" s="102"/>
      <c r="D140" s="102" t="s">
        <v>185</v>
      </c>
      <c r="E140" s="102"/>
      <c r="F140" s="112">
        <v>135.9</v>
      </c>
      <c r="G140" s="677"/>
      <c r="H140" s="113"/>
      <c r="I140" s="114"/>
      <c r="J140" s="117"/>
    </row>
    <row r="141" spans="1:10" s="104" customFormat="1" ht="13.5" customHeight="1">
      <c r="A141" s="111"/>
      <c r="B141" s="102"/>
      <c r="C141" s="102"/>
      <c r="D141" s="102" t="s">
        <v>186</v>
      </c>
      <c r="E141" s="102"/>
      <c r="F141" s="112">
        <v>77.5</v>
      </c>
      <c r="G141" s="677"/>
      <c r="H141" s="113"/>
      <c r="I141" s="114"/>
      <c r="J141" s="117"/>
    </row>
    <row r="142" spans="1:10" s="104" customFormat="1" ht="13.5" customHeight="1">
      <c r="A142" s="111"/>
      <c r="B142" s="102"/>
      <c r="C142" s="102"/>
      <c r="D142" s="102" t="s">
        <v>187</v>
      </c>
      <c r="E142" s="102"/>
      <c r="F142" s="112">
        <v>789.5</v>
      </c>
      <c r="G142" s="677"/>
      <c r="H142" s="113"/>
      <c r="I142" s="114"/>
      <c r="J142" s="117"/>
    </row>
    <row r="143" spans="1:10" s="104" customFormat="1" ht="27" customHeight="1">
      <c r="A143" s="97">
        <v>59</v>
      </c>
      <c r="B143" s="110">
        <v>978</v>
      </c>
      <c r="C143" s="98">
        <v>978071421</v>
      </c>
      <c r="D143" s="98" t="s">
        <v>188</v>
      </c>
      <c r="E143" s="98" t="s">
        <v>48</v>
      </c>
      <c r="F143" s="99">
        <f>SUM(F144:F144)</f>
        <v>132.5</v>
      </c>
      <c r="G143" s="673"/>
      <c r="H143" s="100">
        <f>F143*G143</f>
        <v>0</v>
      </c>
      <c r="J143" s="101"/>
    </row>
    <row r="144" spans="1:10" s="104" customFormat="1" ht="13.5" customHeight="1">
      <c r="A144" s="111"/>
      <c r="B144" s="102"/>
      <c r="C144" s="102"/>
      <c r="D144" s="102" t="s">
        <v>189</v>
      </c>
      <c r="E144" s="102"/>
      <c r="F144" s="112">
        <v>132.5</v>
      </c>
      <c r="G144" s="677"/>
      <c r="H144" s="113"/>
      <c r="I144" s="114"/>
      <c r="J144" s="117"/>
    </row>
    <row r="145" spans="1:10" s="104" customFormat="1" ht="13.5" customHeight="1">
      <c r="A145" s="194">
        <v>60</v>
      </c>
      <c r="B145" s="195">
        <v>978</v>
      </c>
      <c r="C145" s="195" t="s">
        <v>190</v>
      </c>
      <c r="D145" s="195" t="s">
        <v>191</v>
      </c>
      <c r="E145" s="195" t="s">
        <v>51</v>
      </c>
      <c r="F145" s="196">
        <f>F146</f>
        <v>38.7</v>
      </c>
      <c r="G145" s="672"/>
      <c r="H145" s="197">
        <f>F145*G145</f>
        <v>0</v>
      </c>
      <c r="I145" s="207"/>
      <c r="J145" s="207"/>
    </row>
    <row r="146" spans="1:10" ht="40.5" customHeight="1">
      <c r="A146" s="198"/>
      <c r="B146" s="199"/>
      <c r="C146" s="200"/>
      <c r="D146" s="201" t="s">
        <v>192</v>
      </c>
      <c r="E146" s="201"/>
      <c r="F146" s="202">
        <v>38.7</v>
      </c>
      <c r="G146" s="672"/>
      <c r="H146" s="197"/>
      <c r="I146" s="208"/>
      <c r="J146" s="208"/>
    </row>
    <row r="147" spans="1:10" s="104" customFormat="1" ht="13.5" customHeight="1">
      <c r="A147" s="194">
        <v>61</v>
      </c>
      <c r="B147" s="203">
        <v>997</v>
      </c>
      <c r="C147" s="195" t="s">
        <v>193</v>
      </c>
      <c r="D147" s="195" t="s">
        <v>194</v>
      </c>
      <c r="E147" s="195" t="s">
        <v>66</v>
      </c>
      <c r="F147" s="196">
        <f>F148</f>
        <v>634.9</v>
      </c>
      <c r="G147" s="672"/>
      <c r="H147" s="197">
        <f>F147*G147</f>
        <v>0</v>
      </c>
      <c r="I147" s="207"/>
      <c r="J147" s="209"/>
    </row>
    <row r="148" spans="1:10" ht="40.5" customHeight="1">
      <c r="A148" s="198"/>
      <c r="B148" s="199"/>
      <c r="C148" s="200"/>
      <c r="D148" s="201" t="s">
        <v>195</v>
      </c>
      <c r="E148" s="201"/>
      <c r="F148" s="202">
        <f>854.9-220</f>
        <v>634.9</v>
      </c>
      <c r="G148" s="672"/>
      <c r="H148" s="197"/>
      <c r="I148" s="208"/>
      <c r="J148" s="208"/>
    </row>
    <row r="149" spans="1:8" ht="15" customHeight="1">
      <c r="A149" s="93"/>
      <c r="B149" s="94"/>
      <c r="C149" s="94" t="s">
        <v>196</v>
      </c>
      <c r="D149" s="94" t="s">
        <v>197</v>
      </c>
      <c r="E149" s="94"/>
      <c r="F149" s="95"/>
      <c r="G149" s="678"/>
      <c r="H149" s="96">
        <f>SUM(H150:H154)</f>
        <v>0</v>
      </c>
    </row>
    <row r="150" spans="1:10" s="104" customFormat="1" ht="13.5" customHeight="1">
      <c r="A150" s="194">
        <v>62</v>
      </c>
      <c r="B150" s="195">
        <v>998</v>
      </c>
      <c r="C150" s="195">
        <v>998011002</v>
      </c>
      <c r="D150" s="195" t="s">
        <v>198</v>
      </c>
      <c r="E150" s="195" t="s">
        <v>66</v>
      </c>
      <c r="F150" s="196">
        <f>339.5-100</f>
        <v>239.5</v>
      </c>
      <c r="G150" s="672"/>
      <c r="H150" s="197">
        <f>F150*G150</f>
        <v>0</v>
      </c>
      <c r="J150" s="101"/>
    </row>
    <row r="151" spans="1:8" s="118" customFormat="1" ht="13.5" customHeight="1">
      <c r="A151" s="97">
        <v>63</v>
      </c>
      <c r="B151" s="98">
        <v>953</v>
      </c>
      <c r="C151" s="98" t="s">
        <v>199</v>
      </c>
      <c r="D151" s="98" t="s">
        <v>200</v>
      </c>
      <c r="E151" s="98" t="s">
        <v>25</v>
      </c>
      <c r="F151" s="99">
        <f>F152</f>
        <v>1</v>
      </c>
      <c r="G151" s="673"/>
      <c r="H151" s="100">
        <f>F151*G151</f>
        <v>0</v>
      </c>
    </row>
    <row r="152" spans="1:8" s="121" customFormat="1" ht="27" customHeight="1">
      <c r="A152" s="119"/>
      <c r="B152" s="120"/>
      <c r="C152" s="120"/>
      <c r="D152" s="102" t="s">
        <v>201</v>
      </c>
      <c r="E152" s="120"/>
      <c r="F152" s="103">
        <v>1</v>
      </c>
      <c r="G152" s="696"/>
      <c r="H152" s="100"/>
    </row>
    <row r="153" spans="1:8" s="118" customFormat="1" ht="13.5" customHeight="1">
      <c r="A153" s="97">
        <v>64</v>
      </c>
      <c r="B153" s="98">
        <v>953</v>
      </c>
      <c r="C153" s="98" t="s">
        <v>202</v>
      </c>
      <c r="D153" s="98" t="s">
        <v>203</v>
      </c>
      <c r="E153" s="98" t="s">
        <v>25</v>
      </c>
      <c r="F153" s="99">
        <f>F154</f>
        <v>1</v>
      </c>
      <c r="G153" s="673"/>
      <c r="H153" s="100">
        <f>F153*G153</f>
        <v>0</v>
      </c>
    </row>
    <row r="154" spans="1:8" s="121" customFormat="1" ht="27" customHeight="1">
      <c r="A154" s="119"/>
      <c r="B154" s="120"/>
      <c r="C154" s="120"/>
      <c r="D154" s="102" t="s">
        <v>201</v>
      </c>
      <c r="E154" s="120"/>
      <c r="F154" s="103">
        <v>1</v>
      </c>
      <c r="G154" s="696"/>
      <c r="H154" s="100"/>
    </row>
    <row r="155" spans="1:10" ht="20.1" customHeight="1">
      <c r="A155" s="89"/>
      <c r="B155" s="90"/>
      <c r="C155" s="90" t="s">
        <v>204</v>
      </c>
      <c r="D155" s="90" t="s">
        <v>205</v>
      </c>
      <c r="E155" s="90"/>
      <c r="F155" s="91"/>
      <c r="G155" s="680"/>
      <c r="H155" s="92">
        <f>H156+H162+H177+H282+H288+H293+H307+H329+H476+H495+H627+H705+H723+H728+H739+H755</f>
        <v>0</v>
      </c>
      <c r="J155" s="101"/>
    </row>
    <row r="156" spans="1:8" ht="15" customHeight="1">
      <c r="A156" s="93"/>
      <c r="B156" s="94"/>
      <c r="C156" s="94">
        <v>711</v>
      </c>
      <c r="D156" s="94" t="s">
        <v>206</v>
      </c>
      <c r="E156" s="94"/>
      <c r="F156" s="95"/>
      <c r="G156" s="678"/>
      <c r="H156" s="96">
        <f>SUM(H157:H161)</f>
        <v>0</v>
      </c>
    </row>
    <row r="157" spans="1:10" s="104" customFormat="1" ht="13.5" customHeight="1">
      <c r="A157" s="97">
        <v>65</v>
      </c>
      <c r="B157" s="98">
        <v>711</v>
      </c>
      <c r="C157" s="98" t="s">
        <v>207</v>
      </c>
      <c r="D157" s="98" t="s">
        <v>208</v>
      </c>
      <c r="E157" s="98" t="s">
        <v>48</v>
      </c>
      <c r="F157" s="99">
        <f>SUM(F158:F158)</f>
        <v>18.6</v>
      </c>
      <c r="G157" s="673"/>
      <c r="H157" s="100">
        <f>F157*G157</f>
        <v>0</v>
      </c>
      <c r="J157" s="101"/>
    </row>
    <row r="158" spans="1:10" s="104" customFormat="1" ht="13.5" customHeight="1">
      <c r="A158" s="111"/>
      <c r="B158" s="102"/>
      <c r="C158" s="102"/>
      <c r="D158" s="102" t="s">
        <v>209</v>
      </c>
      <c r="E158" s="102"/>
      <c r="F158" s="112">
        <v>18.6</v>
      </c>
      <c r="G158" s="677"/>
      <c r="H158" s="113"/>
      <c r="I158" s="114"/>
      <c r="J158" s="117"/>
    </row>
    <row r="159" spans="1:10" s="104" customFormat="1" ht="13.5" customHeight="1">
      <c r="A159" s="97">
        <v>66</v>
      </c>
      <c r="B159" s="98">
        <v>998</v>
      </c>
      <c r="C159" s="98">
        <v>998711202</v>
      </c>
      <c r="D159" s="98" t="s">
        <v>210</v>
      </c>
      <c r="E159" s="98" t="s">
        <v>10</v>
      </c>
      <c r="F159" s="99">
        <v>3.21</v>
      </c>
      <c r="G159" s="673"/>
      <c r="H159" s="100">
        <f>F159*G159</f>
        <v>0</v>
      </c>
      <c r="J159" s="101"/>
    </row>
    <row r="160" spans="1:10" s="104" customFormat="1" ht="13.5" customHeight="1">
      <c r="A160" s="97">
        <v>67</v>
      </c>
      <c r="B160" s="98">
        <v>711</v>
      </c>
      <c r="C160" s="98" t="s">
        <v>211</v>
      </c>
      <c r="D160" s="98" t="s">
        <v>212</v>
      </c>
      <c r="E160" s="98" t="s">
        <v>25</v>
      </c>
      <c r="F160" s="99">
        <v>1</v>
      </c>
      <c r="G160" s="673"/>
      <c r="H160" s="100">
        <f>F160*G160</f>
        <v>0</v>
      </c>
      <c r="J160" s="101"/>
    </row>
    <row r="161" spans="1:10" s="104" customFormat="1" ht="27" customHeight="1">
      <c r="A161" s="111"/>
      <c r="B161" s="102"/>
      <c r="C161" s="102"/>
      <c r="D161" s="102" t="s">
        <v>213</v>
      </c>
      <c r="E161" s="102"/>
      <c r="F161" s="112">
        <v>1</v>
      </c>
      <c r="G161" s="677"/>
      <c r="H161" s="113"/>
      <c r="I161" s="114"/>
      <c r="J161" s="117"/>
    </row>
    <row r="162" spans="1:8" ht="15" customHeight="1">
      <c r="A162" s="93"/>
      <c r="B162" s="94"/>
      <c r="C162" s="94">
        <v>712</v>
      </c>
      <c r="D162" s="94" t="s">
        <v>214</v>
      </c>
      <c r="E162" s="94"/>
      <c r="F162" s="95"/>
      <c r="G162" s="678"/>
      <c r="H162" s="96">
        <f>SUM(H163:H176)</f>
        <v>0</v>
      </c>
    </row>
    <row r="163" spans="1:10" s="104" customFormat="1" ht="13.5" customHeight="1">
      <c r="A163" s="97">
        <v>68</v>
      </c>
      <c r="B163" s="98">
        <v>712</v>
      </c>
      <c r="C163" s="98">
        <v>712332115</v>
      </c>
      <c r="D163" s="98" t="s">
        <v>215</v>
      </c>
      <c r="E163" s="98" t="s">
        <v>48</v>
      </c>
      <c r="F163" s="99">
        <f>F164</f>
        <v>331.5</v>
      </c>
      <c r="G163" s="673"/>
      <c r="H163" s="100">
        <f>F163*G163</f>
        <v>0</v>
      </c>
      <c r="J163" s="101"/>
    </row>
    <row r="164" spans="1:10" s="114" customFormat="1" ht="13.5" customHeight="1">
      <c r="A164" s="111"/>
      <c r="B164" s="102"/>
      <c r="C164" s="102"/>
      <c r="D164" s="102" t="s">
        <v>216</v>
      </c>
      <c r="E164" s="102"/>
      <c r="F164" s="112">
        <v>331.5</v>
      </c>
      <c r="G164" s="677"/>
      <c r="H164" s="113"/>
      <c r="J164" s="117"/>
    </row>
    <row r="165" spans="1:10" s="104" customFormat="1" ht="13.5" customHeight="1">
      <c r="A165" s="97">
        <v>69</v>
      </c>
      <c r="B165" s="98">
        <v>712</v>
      </c>
      <c r="C165" s="98" t="s">
        <v>217</v>
      </c>
      <c r="D165" s="98" t="s">
        <v>218</v>
      </c>
      <c r="E165" s="98" t="s">
        <v>48</v>
      </c>
      <c r="F165" s="99">
        <f>F172</f>
        <v>20.5</v>
      </c>
      <c r="G165" s="673"/>
      <c r="H165" s="100">
        <f>F165*G165</f>
        <v>0</v>
      </c>
      <c r="J165" s="101"/>
    </row>
    <row r="166" spans="1:10" s="114" customFormat="1" ht="13.5" customHeight="1">
      <c r="A166" s="111"/>
      <c r="B166" s="102"/>
      <c r="C166" s="102"/>
      <c r="D166" s="102" t="s">
        <v>219</v>
      </c>
      <c r="E166" s="102"/>
      <c r="F166" s="112"/>
      <c r="G166" s="677"/>
      <c r="H166" s="113"/>
      <c r="J166" s="117"/>
    </row>
    <row r="167" spans="1:10" s="114" customFormat="1" ht="15.6" customHeight="1">
      <c r="A167" s="111"/>
      <c r="B167" s="102"/>
      <c r="C167" s="102"/>
      <c r="D167" s="102" t="s">
        <v>220</v>
      </c>
      <c r="E167" s="102"/>
      <c r="F167" s="112"/>
      <c r="G167" s="677"/>
      <c r="H167" s="113"/>
      <c r="J167" s="117"/>
    </row>
    <row r="168" spans="1:10" s="114" customFormat="1" ht="13.5" customHeight="1">
      <c r="A168" s="111"/>
      <c r="B168" s="102"/>
      <c r="C168" s="102"/>
      <c r="D168" s="102" t="s">
        <v>221</v>
      </c>
      <c r="E168" s="102"/>
      <c r="F168" s="112"/>
      <c r="G168" s="677"/>
      <c r="H168" s="113"/>
      <c r="J168" s="117"/>
    </row>
    <row r="169" spans="1:10" s="114" customFormat="1" ht="13.5" customHeight="1">
      <c r="A169" s="111"/>
      <c r="B169" s="102"/>
      <c r="C169" s="102"/>
      <c r="D169" s="102" t="s">
        <v>222</v>
      </c>
      <c r="E169" s="102"/>
      <c r="F169" s="112"/>
      <c r="G169" s="677"/>
      <c r="H169" s="113"/>
      <c r="J169" s="117"/>
    </row>
    <row r="170" spans="1:10" s="114" customFormat="1" ht="27" customHeight="1">
      <c r="A170" s="111"/>
      <c r="B170" s="102"/>
      <c r="C170" s="102"/>
      <c r="D170" s="102" t="s">
        <v>223</v>
      </c>
      <c r="E170" s="102"/>
      <c r="F170" s="112"/>
      <c r="G170" s="677"/>
      <c r="H170" s="113"/>
      <c r="J170" s="117"/>
    </row>
    <row r="171" spans="1:10" s="114" customFormat="1" ht="13.5" customHeight="1">
      <c r="A171" s="111"/>
      <c r="B171" s="102"/>
      <c r="C171" s="102"/>
      <c r="D171" s="102" t="s">
        <v>224</v>
      </c>
      <c r="E171" s="102"/>
      <c r="F171" s="112"/>
      <c r="G171" s="677"/>
      <c r="H171" s="113"/>
      <c r="J171" s="117"/>
    </row>
    <row r="172" spans="1:10" s="114" customFormat="1" ht="13.5" customHeight="1">
      <c r="A172" s="111"/>
      <c r="B172" s="102"/>
      <c r="C172" s="102"/>
      <c r="D172" s="102" t="s">
        <v>225</v>
      </c>
      <c r="E172" s="102"/>
      <c r="F172" s="112">
        <v>20.5</v>
      </c>
      <c r="G172" s="677"/>
      <c r="H172" s="113"/>
      <c r="J172" s="117"/>
    </row>
    <row r="173" spans="1:10" s="114" customFormat="1" ht="27" customHeight="1">
      <c r="A173" s="111"/>
      <c r="B173" s="102"/>
      <c r="C173" s="102"/>
      <c r="D173" s="449" t="s">
        <v>1450</v>
      </c>
      <c r="E173" s="102"/>
      <c r="F173" s="112"/>
      <c r="G173" s="677"/>
      <c r="H173" s="113"/>
      <c r="J173" s="117"/>
    </row>
    <row r="174" spans="1:10" s="104" customFormat="1" ht="13.5" customHeight="1">
      <c r="A174" s="97">
        <v>71</v>
      </c>
      <c r="B174" s="98">
        <v>998</v>
      </c>
      <c r="C174" s="98">
        <v>998712202</v>
      </c>
      <c r="D174" s="98" t="s">
        <v>230</v>
      </c>
      <c r="E174" s="98" t="s">
        <v>10</v>
      </c>
      <c r="F174" s="99">
        <v>3.15</v>
      </c>
      <c r="G174" s="673"/>
      <c r="H174" s="100">
        <f>F174*G174</f>
        <v>0</v>
      </c>
      <c r="J174" s="101"/>
    </row>
    <row r="175" spans="1:10" s="104" customFormat="1" ht="13.5" customHeight="1">
      <c r="A175" s="97">
        <v>72</v>
      </c>
      <c r="B175" s="98">
        <v>712</v>
      </c>
      <c r="C175" s="98" t="s">
        <v>231</v>
      </c>
      <c r="D175" s="98" t="s">
        <v>232</v>
      </c>
      <c r="E175" s="98" t="s">
        <v>25</v>
      </c>
      <c r="F175" s="99">
        <v>1</v>
      </c>
      <c r="G175" s="673"/>
      <c r="H175" s="100">
        <f>F175*G175</f>
        <v>0</v>
      </c>
      <c r="J175" s="101"/>
    </row>
    <row r="176" spans="1:10" s="104" customFormat="1" ht="27" customHeight="1">
      <c r="A176" s="111"/>
      <c r="B176" s="102"/>
      <c r="C176" s="102"/>
      <c r="D176" s="102" t="s">
        <v>213</v>
      </c>
      <c r="E176" s="102"/>
      <c r="F176" s="112">
        <v>1</v>
      </c>
      <c r="G176" s="677"/>
      <c r="H176" s="113"/>
      <c r="I176" s="114"/>
      <c r="J176" s="117"/>
    </row>
    <row r="177" spans="1:8" ht="15" customHeight="1">
      <c r="A177" s="93"/>
      <c r="B177" s="94"/>
      <c r="C177" s="94">
        <v>713</v>
      </c>
      <c r="D177" s="94" t="s">
        <v>233</v>
      </c>
      <c r="E177" s="94"/>
      <c r="F177" s="95"/>
      <c r="G177" s="678"/>
      <c r="H177" s="96">
        <f>SUM(H178:H281)</f>
        <v>0</v>
      </c>
    </row>
    <row r="178" spans="1:10" s="104" customFormat="1" ht="13.5" customHeight="1">
      <c r="A178" s="97">
        <v>73</v>
      </c>
      <c r="B178" s="98">
        <v>713</v>
      </c>
      <c r="C178" s="98">
        <v>713111111</v>
      </c>
      <c r="D178" s="98" t="s">
        <v>234</v>
      </c>
      <c r="E178" s="98" t="s">
        <v>48</v>
      </c>
      <c r="F178" s="99">
        <f>SUM(F179:F180)</f>
        <v>1716.8</v>
      </c>
      <c r="G178" s="673"/>
      <c r="H178" s="100">
        <f>F178*G178</f>
        <v>0</v>
      </c>
      <c r="J178" s="101"/>
    </row>
    <row r="179" spans="1:10" s="121" customFormat="1" ht="13.5" customHeight="1">
      <c r="A179" s="122"/>
      <c r="B179" s="120"/>
      <c r="C179" s="120"/>
      <c r="D179" s="102" t="s">
        <v>235</v>
      </c>
      <c r="E179" s="120"/>
      <c r="F179" s="103">
        <v>331.5</v>
      </c>
      <c r="G179" s="697"/>
      <c r="H179" s="100"/>
      <c r="J179" s="101"/>
    </row>
    <row r="180" spans="1:10" s="121" customFormat="1" ht="13.5" customHeight="1">
      <c r="A180" s="122"/>
      <c r="B180" s="120"/>
      <c r="C180" s="120"/>
      <c r="D180" s="102" t="s">
        <v>236</v>
      </c>
      <c r="E180" s="120"/>
      <c r="F180" s="103">
        <v>1385.3</v>
      </c>
      <c r="G180" s="697"/>
      <c r="H180" s="100"/>
      <c r="J180" s="101"/>
    </row>
    <row r="181" spans="1:10" s="116" customFormat="1" ht="13.5" customHeight="1">
      <c r="A181" s="105">
        <v>74</v>
      </c>
      <c r="B181" s="106">
        <v>590</v>
      </c>
      <c r="C181" s="106">
        <v>59036515</v>
      </c>
      <c r="D181" s="106" t="s">
        <v>237</v>
      </c>
      <c r="E181" s="106" t="s">
        <v>48</v>
      </c>
      <c r="F181" s="107">
        <v>1524</v>
      </c>
      <c r="G181" s="679"/>
      <c r="H181" s="108">
        <f>F181*G181</f>
        <v>0</v>
      </c>
      <c r="J181" s="109"/>
    </row>
    <row r="182" spans="1:10" s="116" customFormat="1" ht="13.5" customHeight="1">
      <c r="A182" s="105">
        <v>75</v>
      </c>
      <c r="B182" s="106">
        <v>631</v>
      </c>
      <c r="C182" s="106">
        <v>63150850</v>
      </c>
      <c r="D182" s="106" t="s">
        <v>238</v>
      </c>
      <c r="E182" s="106" t="s">
        <v>48</v>
      </c>
      <c r="F182" s="107">
        <v>364.7</v>
      </c>
      <c r="G182" s="679"/>
      <c r="H182" s="108">
        <f>F182*G182</f>
        <v>0</v>
      </c>
      <c r="J182" s="109"/>
    </row>
    <row r="183" spans="1:10" s="116" customFormat="1" ht="13.5" customHeight="1">
      <c r="A183" s="105">
        <v>76</v>
      </c>
      <c r="B183" s="106">
        <v>631</v>
      </c>
      <c r="C183" s="106">
        <v>63150852</v>
      </c>
      <c r="D183" s="106" t="s">
        <v>239</v>
      </c>
      <c r="E183" s="106" t="s">
        <v>48</v>
      </c>
      <c r="F183" s="107">
        <v>364.7</v>
      </c>
      <c r="G183" s="679"/>
      <c r="H183" s="108">
        <f>F183*G183</f>
        <v>0</v>
      </c>
      <c r="J183" s="109"/>
    </row>
    <row r="184" spans="1:10" s="104" customFormat="1" ht="27" customHeight="1">
      <c r="A184" s="97">
        <v>77</v>
      </c>
      <c r="B184" s="98">
        <v>713</v>
      </c>
      <c r="C184" s="98">
        <v>713131143</v>
      </c>
      <c r="D184" s="98" t="s">
        <v>240</v>
      </c>
      <c r="E184" s="98" t="s">
        <v>48</v>
      </c>
      <c r="F184" s="99">
        <f>F185</f>
        <v>244</v>
      </c>
      <c r="G184" s="673"/>
      <c r="H184" s="100">
        <f>F184*G184</f>
        <v>0</v>
      </c>
      <c r="J184" s="101"/>
    </row>
    <row r="185" spans="1:10" s="114" customFormat="1" ht="13.5" customHeight="1">
      <c r="A185" s="111"/>
      <c r="B185" s="102"/>
      <c r="C185" s="102"/>
      <c r="D185" s="102" t="s">
        <v>241</v>
      </c>
      <c r="E185" s="102"/>
      <c r="F185" s="112">
        <v>244</v>
      </c>
      <c r="G185" s="677"/>
      <c r="H185" s="113"/>
      <c r="J185" s="117"/>
    </row>
    <row r="186" spans="1:10" s="114" customFormat="1" ht="13.5" customHeight="1">
      <c r="A186" s="111"/>
      <c r="B186" s="102"/>
      <c r="C186" s="102"/>
      <c r="D186" s="102" t="s">
        <v>242</v>
      </c>
      <c r="E186" s="102"/>
      <c r="F186" s="112">
        <v>34.2</v>
      </c>
      <c r="G186" s="677"/>
      <c r="H186" s="113"/>
      <c r="J186" s="117"/>
    </row>
    <row r="187" spans="1:10" s="116" customFormat="1" ht="13.5" customHeight="1">
      <c r="A187" s="105">
        <v>78</v>
      </c>
      <c r="B187" s="106">
        <v>631</v>
      </c>
      <c r="C187" s="106">
        <v>63150986</v>
      </c>
      <c r="D187" s="106" t="s">
        <v>243</v>
      </c>
      <c r="E187" s="106" t="s">
        <v>48</v>
      </c>
      <c r="F187" s="107">
        <v>268.4</v>
      </c>
      <c r="G187" s="679"/>
      <c r="H187" s="108">
        <f>F187*G187</f>
        <v>0</v>
      </c>
      <c r="J187" s="109"/>
    </row>
    <row r="188" spans="1:10" s="116" customFormat="1" ht="13.5" customHeight="1">
      <c r="A188" s="105">
        <v>79</v>
      </c>
      <c r="B188" s="106">
        <v>631</v>
      </c>
      <c r="C188" s="106">
        <v>63150986</v>
      </c>
      <c r="D188" s="106" t="s">
        <v>243</v>
      </c>
      <c r="E188" s="106" t="s">
        <v>48</v>
      </c>
      <c r="F188" s="107">
        <v>268.4</v>
      </c>
      <c r="G188" s="679"/>
      <c r="H188" s="108">
        <f>F188*G188</f>
        <v>0</v>
      </c>
      <c r="J188" s="109"/>
    </row>
    <row r="189" spans="1:10" s="116" customFormat="1" ht="13.5" customHeight="1">
      <c r="A189" s="105">
        <v>80</v>
      </c>
      <c r="B189" s="106">
        <v>631</v>
      </c>
      <c r="C189" s="106">
        <v>63150980</v>
      </c>
      <c r="D189" s="106" t="s">
        <v>244</v>
      </c>
      <c r="E189" s="106" t="s">
        <v>48</v>
      </c>
      <c r="F189" s="107">
        <v>268.4</v>
      </c>
      <c r="G189" s="679"/>
      <c r="H189" s="108">
        <f>F189*G189</f>
        <v>0</v>
      </c>
      <c r="J189" s="109"/>
    </row>
    <row r="190" spans="1:10" s="116" customFormat="1" ht="27" customHeight="1">
      <c r="A190" s="105">
        <v>81</v>
      </c>
      <c r="B190" s="106">
        <v>283</v>
      </c>
      <c r="C190" s="106">
        <v>28376365</v>
      </c>
      <c r="D190" s="106" t="s">
        <v>245</v>
      </c>
      <c r="E190" s="106" t="s">
        <v>48</v>
      </c>
      <c r="F190" s="107">
        <v>37.2</v>
      </c>
      <c r="G190" s="679"/>
      <c r="H190" s="108">
        <f>F190*G190</f>
        <v>0</v>
      </c>
      <c r="J190" s="109"/>
    </row>
    <row r="191" spans="1:10" s="104" customFormat="1" ht="13.5" customHeight="1">
      <c r="A191" s="97">
        <v>82</v>
      </c>
      <c r="B191" s="98">
        <v>713</v>
      </c>
      <c r="C191" s="98" t="s">
        <v>246</v>
      </c>
      <c r="D191" s="98" t="s">
        <v>247</v>
      </c>
      <c r="E191" s="98" t="s">
        <v>48</v>
      </c>
      <c r="F191" s="99">
        <f>F200</f>
        <v>52.3</v>
      </c>
      <c r="G191" s="673"/>
      <c r="H191" s="100">
        <f>F191*G191</f>
        <v>0</v>
      </c>
      <c r="J191" s="101"/>
    </row>
    <row r="192" spans="1:10" s="114" customFormat="1" ht="13.5" customHeight="1">
      <c r="A192" s="111"/>
      <c r="B192" s="102"/>
      <c r="C192" s="102"/>
      <c r="D192" s="102" t="s">
        <v>219</v>
      </c>
      <c r="E192" s="102"/>
      <c r="F192" s="112"/>
      <c r="G192" s="677"/>
      <c r="H192" s="113"/>
      <c r="J192" s="117"/>
    </row>
    <row r="193" spans="1:10" s="114" customFormat="1" ht="27" customHeight="1">
      <c r="A193" s="111"/>
      <c r="B193" s="102"/>
      <c r="C193" s="102"/>
      <c r="D193" s="102" t="s">
        <v>248</v>
      </c>
      <c r="E193" s="102"/>
      <c r="F193" s="112"/>
      <c r="G193" s="677"/>
      <c r="H193" s="113"/>
      <c r="J193" s="117"/>
    </row>
    <row r="194" spans="1:10" s="114" customFormat="1" ht="13.5" customHeight="1">
      <c r="A194" s="111"/>
      <c r="B194" s="102"/>
      <c r="C194" s="102"/>
      <c r="D194" s="102" t="s">
        <v>249</v>
      </c>
      <c r="E194" s="102"/>
      <c r="F194" s="112"/>
      <c r="G194" s="677"/>
      <c r="H194" s="113"/>
      <c r="J194" s="117"/>
    </row>
    <row r="195" spans="1:10" s="114" customFormat="1" ht="13.5" customHeight="1">
      <c r="A195" s="111"/>
      <c r="B195" s="102"/>
      <c r="C195" s="102"/>
      <c r="D195" s="102" t="s">
        <v>250</v>
      </c>
      <c r="E195" s="102"/>
      <c r="F195" s="112"/>
      <c r="G195" s="677"/>
      <c r="H195" s="113"/>
      <c r="J195" s="117"/>
    </row>
    <row r="196" spans="1:10" s="114" customFormat="1" ht="13.5" customHeight="1">
      <c r="A196" s="111"/>
      <c r="B196" s="102"/>
      <c r="C196" s="102"/>
      <c r="D196" s="102" t="s">
        <v>251</v>
      </c>
      <c r="E196" s="102"/>
      <c r="F196" s="112"/>
      <c r="G196" s="677"/>
      <c r="H196" s="113"/>
      <c r="J196" s="117"/>
    </row>
    <row r="197" spans="1:10" s="114" customFormat="1" ht="13.5" customHeight="1">
      <c r="A197" s="111"/>
      <c r="B197" s="102"/>
      <c r="C197" s="102"/>
      <c r="D197" s="102" t="s">
        <v>250</v>
      </c>
      <c r="E197" s="102"/>
      <c r="F197" s="112"/>
      <c r="G197" s="677"/>
      <c r="H197" s="113"/>
      <c r="J197" s="117"/>
    </row>
    <row r="198" spans="1:10" s="114" customFormat="1" ht="13.5" customHeight="1">
      <c r="A198" s="111"/>
      <c r="B198" s="102"/>
      <c r="C198" s="102"/>
      <c r="D198" s="102" t="s">
        <v>252</v>
      </c>
      <c r="E198" s="102"/>
      <c r="F198" s="112"/>
      <c r="G198" s="677"/>
      <c r="H198" s="113"/>
      <c r="J198" s="117"/>
    </row>
    <row r="199" spans="1:10" s="114" customFormat="1" ht="13.5" customHeight="1">
      <c r="A199" s="111"/>
      <c r="B199" s="102"/>
      <c r="C199" s="102"/>
      <c r="D199" s="102" t="s">
        <v>250</v>
      </c>
      <c r="E199" s="102"/>
      <c r="F199" s="112"/>
      <c r="G199" s="677"/>
      <c r="H199" s="113"/>
      <c r="J199" s="117"/>
    </row>
    <row r="200" spans="1:10" s="114" customFormat="1" ht="13.5" customHeight="1">
      <c r="A200" s="111"/>
      <c r="B200" s="102"/>
      <c r="C200" s="102"/>
      <c r="D200" s="102" t="s">
        <v>253</v>
      </c>
      <c r="E200" s="102"/>
      <c r="F200" s="112">
        <v>52.3</v>
      </c>
      <c r="G200" s="677"/>
      <c r="H200" s="113"/>
      <c r="J200" s="117"/>
    </row>
    <row r="201" spans="1:10" s="114" customFormat="1" ht="40.5" customHeight="1">
      <c r="A201" s="111"/>
      <c r="B201" s="102"/>
      <c r="C201" s="102"/>
      <c r="D201" s="449" t="s">
        <v>1454</v>
      </c>
      <c r="E201" s="102"/>
      <c r="F201" s="112"/>
      <c r="G201" s="677"/>
      <c r="H201" s="113"/>
      <c r="J201" s="117"/>
    </row>
    <row r="202" spans="1:10" s="104" customFormat="1" ht="13.5" customHeight="1">
      <c r="A202" s="97">
        <v>83</v>
      </c>
      <c r="B202" s="98">
        <v>713</v>
      </c>
      <c r="C202" s="98" t="s">
        <v>254</v>
      </c>
      <c r="D202" s="98" t="s">
        <v>255</v>
      </c>
      <c r="E202" s="98" t="s">
        <v>48</v>
      </c>
      <c r="F202" s="99">
        <f>F212</f>
        <v>19.4</v>
      </c>
      <c r="G202" s="673"/>
      <c r="H202" s="100">
        <f>F202*G202</f>
        <v>0</v>
      </c>
      <c r="J202" s="101"/>
    </row>
    <row r="203" spans="1:10" s="114" customFormat="1" ht="13.5" customHeight="1">
      <c r="A203" s="111"/>
      <c r="B203" s="102"/>
      <c r="C203" s="102"/>
      <c r="D203" s="102" t="s">
        <v>219</v>
      </c>
      <c r="E203" s="102"/>
      <c r="F203" s="112"/>
      <c r="G203" s="677"/>
      <c r="H203" s="113"/>
      <c r="J203" s="117"/>
    </row>
    <row r="204" spans="1:10" s="114" customFormat="1" ht="27" customHeight="1">
      <c r="A204" s="111"/>
      <c r="B204" s="102"/>
      <c r="C204" s="102"/>
      <c r="D204" s="102" t="s">
        <v>256</v>
      </c>
      <c r="E204" s="102"/>
      <c r="F204" s="112"/>
      <c r="G204" s="677"/>
      <c r="H204" s="113"/>
      <c r="J204" s="117"/>
    </row>
    <row r="205" spans="1:10" s="114" customFormat="1" ht="13.5" customHeight="1">
      <c r="A205" s="111"/>
      <c r="B205" s="102"/>
      <c r="C205" s="102"/>
      <c r="D205" s="102" t="s">
        <v>257</v>
      </c>
      <c r="E205" s="102"/>
      <c r="F205" s="112"/>
      <c r="G205" s="677"/>
      <c r="H205" s="113"/>
      <c r="J205" s="117"/>
    </row>
    <row r="206" spans="1:10" s="114" customFormat="1" ht="13.5" customHeight="1">
      <c r="A206" s="111"/>
      <c r="B206" s="102"/>
      <c r="C206" s="102"/>
      <c r="D206" s="102" t="s">
        <v>249</v>
      </c>
      <c r="E206" s="102"/>
      <c r="F206" s="112"/>
      <c r="G206" s="677"/>
      <c r="H206" s="113"/>
      <c r="J206" s="117"/>
    </row>
    <row r="207" spans="1:10" s="114" customFormat="1" ht="13.5" customHeight="1">
      <c r="A207" s="111"/>
      <c r="B207" s="102"/>
      <c r="C207" s="102"/>
      <c r="D207" s="102" t="s">
        <v>250</v>
      </c>
      <c r="E207" s="102"/>
      <c r="F207" s="112"/>
      <c r="G207" s="677"/>
      <c r="H207" s="113"/>
      <c r="J207" s="117"/>
    </row>
    <row r="208" spans="1:10" s="114" customFormat="1" ht="13.5" customHeight="1">
      <c r="A208" s="111"/>
      <c r="B208" s="102"/>
      <c r="C208" s="102"/>
      <c r="D208" s="102" t="s">
        <v>251</v>
      </c>
      <c r="E208" s="102"/>
      <c r="F208" s="112"/>
      <c r="G208" s="677"/>
      <c r="H208" s="113"/>
      <c r="J208" s="117"/>
    </row>
    <row r="209" spans="1:10" s="114" customFormat="1" ht="13.5" customHeight="1">
      <c r="A209" s="111"/>
      <c r="B209" s="102"/>
      <c r="C209" s="102"/>
      <c r="D209" s="102" t="s">
        <v>250</v>
      </c>
      <c r="E209" s="102"/>
      <c r="F209" s="112"/>
      <c r="G209" s="677"/>
      <c r="H209" s="113"/>
      <c r="J209" s="117"/>
    </row>
    <row r="210" spans="1:10" s="114" customFormat="1" ht="13.5" customHeight="1">
      <c r="A210" s="111"/>
      <c r="B210" s="102"/>
      <c r="C210" s="102"/>
      <c r="D210" s="102" t="s">
        <v>252</v>
      </c>
      <c r="E210" s="102"/>
      <c r="F210" s="112"/>
      <c r="G210" s="677"/>
      <c r="H210" s="113"/>
      <c r="J210" s="117"/>
    </row>
    <row r="211" spans="1:10" s="114" customFormat="1" ht="13.5" customHeight="1">
      <c r="A211" s="111"/>
      <c r="B211" s="102"/>
      <c r="C211" s="102"/>
      <c r="D211" s="102" t="s">
        <v>250</v>
      </c>
      <c r="E211" s="102"/>
      <c r="F211" s="112"/>
      <c r="G211" s="677"/>
      <c r="H211" s="113"/>
      <c r="J211" s="117"/>
    </row>
    <row r="212" spans="1:10" s="114" customFormat="1" ht="13.5" customHeight="1">
      <c r="A212" s="111"/>
      <c r="B212" s="102"/>
      <c r="C212" s="102"/>
      <c r="D212" s="102" t="s">
        <v>258</v>
      </c>
      <c r="E212" s="102"/>
      <c r="F212" s="112">
        <v>19.4</v>
      </c>
      <c r="G212" s="677"/>
      <c r="H212" s="113"/>
      <c r="J212" s="117"/>
    </row>
    <row r="213" spans="1:10" s="114" customFormat="1" ht="40.5" customHeight="1">
      <c r="A213" s="111"/>
      <c r="B213" s="102"/>
      <c r="C213" s="102"/>
      <c r="D213" s="449" t="s">
        <v>1454</v>
      </c>
      <c r="E213" s="102"/>
      <c r="F213" s="112"/>
      <c r="G213" s="677"/>
      <c r="H213" s="113"/>
      <c r="J213" s="117"/>
    </row>
    <row r="214" spans="1:10" s="104" customFormat="1" ht="13.5" customHeight="1">
      <c r="A214" s="97">
        <v>84</v>
      </c>
      <c r="B214" s="98">
        <v>713</v>
      </c>
      <c r="C214" s="98" t="s">
        <v>259</v>
      </c>
      <c r="D214" s="98" t="s">
        <v>260</v>
      </c>
      <c r="E214" s="98" t="s">
        <v>48</v>
      </c>
      <c r="F214" s="99">
        <f>SUM(F224:F225)</f>
        <v>200.10000000000002</v>
      </c>
      <c r="G214" s="673"/>
      <c r="H214" s="100">
        <f>F214*G214</f>
        <v>0</v>
      </c>
      <c r="J214" s="101"/>
    </row>
    <row r="215" spans="1:10" s="114" customFormat="1" ht="13.5" customHeight="1">
      <c r="A215" s="111"/>
      <c r="B215" s="102"/>
      <c r="C215" s="102"/>
      <c r="D215" s="102" t="s">
        <v>1375</v>
      </c>
      <c r="E215" s="102"/>
      <c r="F215" s="112"/>
      <c r="G215" s="677"/>
      <c r="H215" s="113"/>
      <c r="J215" s="117"/>
    </row>
    <row r="216" spans="1:10" s="114" customFormat="1" ht="13.5" customHeight="1">
      <c r="A216" s="111"/>
      <c r="B216" s="102"/>
      <c r="C216" s="102"/>
      <c r="D216" s="102" t="s">
        <v>219</v>
      </c>
      <c r="E216" s="102"/>
      <c r="F216" s="112"/>
      <c r="G216" s="677"/>
      <c r="H216" s="113"/>
      <c r="J216" s="117"/>
    </row>
    <row r="217" spans="1:10" s="114" customFormat="1" ht="27" customHeight="1">
      <c r="A217" s="111"/>
      <c r="B217" s="102"/>
      <c r="C217" s="102"/>
      <c r="D217" s="102" t="s">
        <v>261</v>
      </c>
      <c r="E217" s="102"/>
      <c r="F217" s="112"/>
      <c r="G217" s="677"/>
      <c r="H217" s="113"/>
      <c r="J217" s="117"/>
    </row>
    <row r="218" spans="1:10" s="114" customFormat="1" ht="13.5" customHeight="1">
      <c r="A218" s="111"/>
      <c r="B218" s="102"/>
      <c r="C218" s="102"/>
      <c r="D218" s="102" t="s">
        <v>262</v>
      </c>
      <c r="E218" s="102"/>
      <c r="F218" s="112"/>
      <c r="G218" s="677"/>
      <c r="H218" s="113"/>
      <c r="J218" s="117"/>
    </row>
    <row r="219" spans="1:10" s="114" customFormat="1" ht="13.5" customHeight="1">
      <c r="A219" s="111"/>
      <c r="B219" s="102"/>
      <c r="C219" s="102"/>
      <c r="D219" s="102" t="s">
        <v>250</v>
      </c>
      <c r="E219" s="102"/>
      <c r="F219" s="112"/>
      <c r="G219" s="677"/>
      <c r="H219" s="113"/>
      <c r="J219" s="117"/>
    </row>
    <row r="220" spans="1:10" s="114" customFormat="1" ht="13.5" customHeight="1">
      <c r="A220" s="111"/>
      <c r="B220" s="102"/>
      <c r="C220" s="102"/>
      <c r="D220" s="102" t="s">
        <v>251</v>
      </c>
      <c r="E220" s="102"/>
      <c r="F220" s="112"/>
      <c r="G220" s="677"/>
      <c r="H220" s="113"/>
      <c r="J220" s="117"/>
    </row>
    <row r="221" spans="1:10" s="114" customFormat="1" ht="13.5" customHeight="1">
      <c r="A221" s="111"/>
      <c r="B221" s="102"/>
      <c r="C221" s="102"/>
      <c r="D221" s="102" t="s">
        <v>250</v>
      </c>
      <c r="E221" s="102"/>
      <c r="F221" s="112"/>
      <c r="G221" s="677"/>
      <c r="H221" s="113"/>
      <c r="J221" s="117"/>
    </row>
    <row r="222" spans="1:10" s="114" customFormat="1" ht="13.5" customHeight="1">
      <c r="A222" s="111"/>
      <c r="B222" s="102"/>
      <c r="C222" s="102"/>
      <c r="D222" s="102" t="s">
        <v>263</v>
      </c>
      <c r="E222" s="102"/>
      <c r="F222" s="112"/>
      <c r="G222" s="677"/>
      <c r="H222" s="113"/>
      <c r="J222" s="117"/>
    </row>
    <row r="223" spans="1:10" s="114" customFormat="1" ht="13.5" customHeight="1">
      <c r="A223" s="111"/>
      <c r="B223" s="102"/>
      <c r="C223" s="102"/>
      <c r="D223" s="102" t="s">
        <v>250</v>
      </c>
      <c r="E223" s="102"/>
      <c r="F223" s="112"/>
      <c r="G223" s="677"/>
      <c r="H223" s="113"/>
      <c r="J223" s="117"/>
    </row>
    <row r="224" spans="1:10" s="114" customFormat="1" ht="13.5" customHeight="1">
      <c r="A224" s="111"/>
      <c r="B224" s="102"/>
      <c r="C224" s="102"/>
      <c r="D224" s="102" t="s">
        <v>264</v>
      </c>
      <c r="E224" s="102"/>
      <c r="F224" s="112">
        <v>88.2</v>
      </c>
      <c r="G224" s="677"/>
      <c r="H224" s="113"/>
      <c r="J224" s="117"/>
    </row>
    <row r="225" spans="1:10" s="114" customFormat="1" ht="13.5" customHeight="1">
      <c r="A225" s="111"/>
      <c r="B225" s="102"/>
      <c r="C225" s="102"/>
      <c r="D225" s="102" t="s">
        <v>1465</v>
      </c>
      <c r="E225" s="102"/>
      <c r="F225" s="112">
        <v>111.9</v>
      </c>
      <c r="G225" s="677"/>
      <c r="H225" s="113"/>
      <c r="J225" s="117"/>
    </row>
    <row r="226" spans="1:10" s="114" customFormat="1" ht="25.2" customHeight="1">
      <c r="A226" s="111"/>
      <c r="B226" s="102"/>
      <c r="C226" s="102"/>
      <c r="D226" s="449" t="s">
        <v>1466</v>
      </c>
      <c r="E226" s="102"/>
      <c r="F226" s="112"/>
      <c r="G226" s="677"/>
      <c r="H226" s="113"/>
      <c r="J226" s="117"/>
    </row>
    <row r="227" spans="1:10" s="104" customFormat="1" ht="13.5" customHeight="1">
      <c r="A227" s="97">
        <v>85</v>
      </c>
      <c r="B227" s="98">
        <v>713</v>
      </c>
      <c r="C227" s="98" t="s">
        <v>265</v>
      </c>
      <c r="D227" s="98" t="s">
        <v>266</v>
      </c>
      <c r="E227" s="98" t="s">
        <v>48</v>
      </c>
      <c r="F227" s="99">
        <f>SUM(F237:F240)</f>
        <v>2108.2999999999997</v>
      </c>
      <c r="G227" s="673"/>
      <c r="H227" s="100">
        <f>F227*G227</f>
        <v>0</v>
      </c>
      <c r="J227" s="101"/>
    </row>
    <row r="228" spans="1:10" s="114" customFormat="1" ht="13.5" customHeight="1">
      <c r="A228" s="111"/>
      <c r="B228" s="102"/>
      <c r="C228" s="102"/>
      <c r="D228" s="102" t="s">
        <v>267</v>
      </c>
      <c r="E228" s="102"/>
      <c r="F228" s="112"/>
      <c r="G228" s="677"/>
      <c r="H228" s="113"/>
      <c r="J228" s="117"/>
    </row>
    <row r="229" spans="1:10" s="114" customFormat="1" ht="13.5" customHeight="1">
      <c r="A229" s="111"/>
      <c r="B229" s="102"/>
      <c r="C229" s="102"/>
      <c r="D229" s="102" t="s">
        <v>219</v>
      </c>
      <c r="E229" s="102"/>
      <c r="F229" s="112"/>
      <c r="G229" s="677"/>
      <c r="H229" s="113"/>
      <c r="J229" s="117"/>
    </row>
    <row r="230" spans="1:10" s="114" customFormat="1" ht="27" customHeight="1">
      <c r="A230" s="111"/>
      <c r="B230" s="102"/>
      <c r="C230" s="102"/>
      <c r="D230" s="102" t="s">
        <v>261</v>
      </c>
      <c r="E230" s="102"/>
      <c r="F230" s="112"/>
      <c r="G230" s="677"/>
      <c r="H230" s="113"/>
      <c r="J230" s="117"/>
    </row>
    <row r="231" spans="1:10" s="114" customFormat="1" ht="13.5" customHeight="1">
      <c r="A231" s="111"/>
      <c r="B231" s="102"/>
      <c r="C231" s="102"/>
      <c r="D231" s="102" t="s">
        <v>262</v>
      </c>
      <c r="E231" s="102"/>
      <c r="F231" s="112"/>
      <c r="G231" s="677"/>
      <c r="H231" s="113"/>
      <c r="J231" s="117"/>
    </row>
    <row r="232" spans="1:10" s="114" customFormat="1" ht="13.5" customHeight="1">
      <c r="A232" s="111"/>
      <c r="B232" s="102"/>
      <c r="C232" s="102"/>
      <c r="D232" s="102" t="s">
        <v>250</v>
      </c>
      <c r="E232" s="102"/>
      <c r="F232" s="112"/>
      <c r="G232" s="677"/>
      <c r="H232" s="113"/>
      <c r="J232" s="117"/>
    </row>
    <row r="233" spans="1:10" s="114" customFormat="1" ht="13.5" customHeight="1">
      <c r="A233" s="111"/>
      <c r="B233" s="102"/>
      <c r="C233" s="102"/>
      <c r="D233" s="102" t="s">
        <v>251</v>
      </c>
      <c r="E233" s="102"/>
      <c r="F233" s="112"/>
      <c r="G233" s="677"/>
      <c r="H233" s="113"/>
      <c r="J233" s="117"/>
    </row>
    <row r="234" spans="1:10" s="114" customFormat="1" ht="13.5" customHeight="1">
      <c r="A234" s="111"/>
      <c r="B234" s="102"/>
      <c r="C234" s="102"/>
      <c r="D234" s="102" t="s">
        <v>250</v>
      </c>
      <c r="E234" s="102"/>
      <c r="F234" s="112"/>
      <c r="G234" s="677"/>
      <c r="H234" s="113"/>
      <c r="J234" s="117"/>
    </row>
    <row r="235" spans="1:10" s="114" customFormat="1" ht="13.5" customHeight="1">
      <c r="A235" s="111"/>
      <c r="B235" s="102"/>
      <c r="C235" s="102"/>
      <c r="D235" s="102" t="s">
        <v>263</v>
      </c>
      <c r="E235" s="102"/>
      <c r="F235" s="112"/>
      <c r="G235" s="677"/>
      <c r="H235" s="113"/>
      <c r="J235" s="117"/>
    </row>
    <row r="236" spans="1:10" s="114" customFormat="1" ht="13.5" customHeight="1">
      <c r="A236" s="111"/>
      <c r="B236" s="102"/>
      <c r="C236" s="102"/>
      <c r="D236" s="102" t="s">
        <v>250</v>
      </c>
      <c r="E236" s="102"/>
      <c r="F236" s="112"/>
      <c r="G236" s="677"/>
      <c r="H236" s="113"/>
      <c r="J236" s="117"/>
    </row>
    <row r="237" spans="1:10" s="114" customFormat="1" ht="15" customHeight="1">
      <c r="A237" s="111"/>
      <c r="B237" s="102"/>
      <c r="C237" s="102"/>
      <c r="D237" s="102" t="s">
        <v>1467</v>
      </c>
      <c r="E237" s="102"/>
      <c r="F237" s="112">
        <f>1660.3-686.7</f>
        <v>973.5999999999999</v>
      </c>
      <c r="G237" s="677"/>
      <c r="H237" s="113"/>
      <c r="J237" s="117"/>
    </row>
    <row r="238" spans="1:10" s="114" customFormat="1" ht="13.5" customHeight="1">
      <c r="A238" s="111"/>
      <c r="B238" s="102"/>
      <c r="C238" s="102"/>
      <c r="D238" s="102" t="s">
        <v>269</v>
      </c>
      <c r="E238" s="102"/>
      <c r="F238" s="112">
        <v>195.7</v>
      </c>
      <c r="G238" s="677"/>
      <c r="H238" s="113"/>
      <c r="J238" s="117"/>
    </row>
    <row r="239" spans="1:10" s="114" customFormat="1" ht="13.5" customHeight="1">
      <c r="A239" s="111"/>
      <c r="B239" s="102"/>
      <c r="C239" s="102"/>
      <c r="D239" s="102" t="s">
        <v>1468</v>
      </c>
      <c r="E239" s="102"/>
      <c r="F239" s="112">
        <v>857.8</v>
      </c>
      <c r="G239" s="677"/>
      <c r="H239" s="113"/>
      <c r="J239" s="117"/>
    </row>
    <row r="240" spans="1:10" s="114" customFormat="1" ht="13.5" customHeight="1">
      <c r="A240" s="111"/>
      <c r="B240" s="102"/>
      <c r="C240" s="102"/>
      <c r="D240" s="102" t="s">
        <v>270</v>
      </c>
      <c r="E240" s="98"/>
      <c r="F240" s="103">
        <v>81.2</v>
      </c>
      <c r="G240" s="677"/>
      <c r="H240" s="113"/>
      <c r="J240" s="117"/>
    </row>
    <row r="241" spans="1:10" s="114" customFormat="1" ht="27" customHeight="1">
      <c r="A241" s="111"/>
      <c r="B241" s="102"/>
      <c r="C241" s="102"/>
      <c r="D241" s="449" t="s">
        <v>1466</v>
      </c>
      <c r="E241" s="102"/>
      <c r="F241" s="112"/>
      <c r="G241" s="677"/>
      <c r="H241" s="113"/>
      <c r="J241" s="117"/>
    </row>
    <row r="242" spans="1:10" s="104" customFormat="1" ht="13.5" customHeight="1">
      <c r="A242" s="97">
        <v>86</v>
      </c>
      <c r="B242" s="98">
        <v>713</v>
      </c>
      <c r="C242" s="98" t="s">
        <v>271</v>
      </c>
      <c r="D242" s="98" t="s">
        <v>272</v>
      </c>
      <c r="E242" s="98" t="s">
        <v>48</v>
      </c>
      <c r="F242" s="99">
        <f>F252</f>
        <v>353.6</v>
      </c>
      <c r="G242" s="673"/>
      <c r="H242" s="100">
        <f>F242*G242</f>
        <v>0</v>
      </c>
      <c r="J242" s="101"/>
    </row>
    <row r="243" spans="1:10" s="114" customFormat="1" ht="13.5" customHeight="1">
      <c r="A243" s="111"/>
      <c r="B243" s="102"/>
      <c r="C243" s="102"/>
      <c r="D243" s="102" t="s">
        <v>273</v>
      </c>
      <c r="E243" s="102"/>
      <c r="F243" s="112"/>
      <c r="G243" s="677"/>
      <c r="H243" s="113"/>
      <c r="J243" s="117"/>
    </row>
    <row r="244" spans="1:10" s="114" customFormat="1" ht="13.5" customHeight="1">
      <c r="A244" s="111"/>
      <c r="B244" s="102"/>
      <c r="C244" s="102"/>
      <c r="D244" s="102" t="s">
        <v>219</v>
      </c>
      <c r="E244" s="102"/>
      <c r="F244" s="112"/>
      <c r="G244" s="677"/>
      <c r="H244" s="113"/>
      <c r="J244" s="117"/>
    </row>
    <row r="245" spans="1:10" s="114" customFormat="1" ht="27" customHeight="1">
      <c r="A245" s="111"/>
      <c r="B245" s="102"/>
      <c r="C245" s="102"/>
      <c r="D245" s="102" t="s">
        <v>261</v>
      </c>
      <c r="E245" s="102"/>
      <c r="F245" s="112"/>
      <c r="G245" s="677"/>
      <c r="H245" s="113"/>
      <c r="J245" s="117"/>
    </row>
    <row r="246" spans="1:10" s="114" customFormat="1" ht="13.5" customHeight="1">
      <c r="A246" s="111"/>
      <c r="B246" s="102"/>
      <c r="C246" s="102"/>
      <c r="D246" s="102" t="s">
        <v>262</v>
      </c>
      <c r="E246" s="102"/>
      <c r="F246" s="112"/>
      <c r="G246" s="677"/>
      <c r="H246" s="113"/>
      <c r="J246" s="117"/>
    </row>
    <row r="247" spans="1:10" s="114" customFormat="1" ht="13.5" customHeight="1">
      <c r="A247" s="111"/>
      <c r="B247" s="102"/>
      <c r="C247" s="102"/>
      <c r="D247" s="102" t="s">
        <v>250</v>
      </c>
      <c r="E247" s="102"/>
      <c r="F247" s="112"/>
      <c r="G247" s="677"/>
      <c r="H247" s="113"/>
      <c r="J247" s="117"/>
    </row>
    <row r="248" spans="1:10" s="114" customFormat="1" ht="13.5" customHeight="1">
      <c r="A248" s="111"/>
      <c r="B248" s="102"/>
      <c r="C248" s="102"/>
      <c r="D248" s="102" t="s">
        <v>274</v>
      </c>
      <c r="E248" s="102"/>
      <c r="F248" s="112"/>
      <c r="G248" s="677"/>
      <c r="H248" s="113"/>
      <c r="J248" s="117"/>
    </row>
    <row r="249" spans="1:10" s="114" customFormat="1" ht="13.5" customHeight="1">
      <c r="A249" s="111"/>
      <c r="B249" s="102"/>
      <c r="C249" s="102"/>
      <c r="D249" s="102" t="s">
        <v>250</v>
      </c>
      <c r="E249" s="102"/>
      <c r="F249" s="112"/>
      <c r="G249" s="677"/>
      <c r="H249" s="113"/>
      <c r="J249" s="117"/>
    </row>
    <row r="250" spans="1:10" s="114" customFormat="1" ht="13.5" customHeight="1">
      <c r="A250" s="111"/>
      <c r="B250" s="102"/>
      <c r="C250" s="102"/>
      <c r="D250" s="102" t="s">
        <v>263</v>
      </c>
      <c r="E250" s="102"/>
      <c r="F250" s="112"/>
      <c r="G250" s="677"/>
      <c r="H250" s="113"/>
      <c r="J250" s="117"/>
    </row>
    <row r="251" spans="1:10" s="114" customFormat="1" ht="13.5" customHeight="1">
      <c r="A251" s="111"/>
      <c r="B251" s="102"/>
      <c r="C251" s="102"/>
      <c r="D251" s="102" t="s">
        <v>250</v>
      </c>
      <c r="E251" s="102"/>
      <c r="F251" s="112"/>
      <c r="G251" s="677"/>
      <c r="H251" s="113"/>
      <c r="J251" s="117"/>
    </row>
    <row r="252" spans="1:10" s="114" customFormat="1" ht="13.5" customHeight="1">
      <c r="A252" s="111"/>
      <c r="B252" s="102"/>
      <c r="C252" s="102"/>
      <c r="D252" s="102" t="s">
        <v>1469</v>
      </c>
      <c r="E252" s="102"/>
      <c r="F252" s="112">
        <v>353.6</v>
      </c>
      <c r="G252" s="677"/>
      <c r="H252" s="113"/>
      <c r="J252" s="117"/>
    </row>
    <row r="253" spans="1:10" s="114" customFormat="1" ht="25.2" customHeight="1">
      <c r="A253" s="111"/>
      <c r="B253" s="102"/>
      <c r="C253" s="102"/>
      <c r="D253" s="449" t="s">
        <v>1466</v>
      </c>
      <c r="E253" s="102"/>
      <c r="F253" s="112"/>
      <c r="G253" s="677"/>
      <c r="H253" s="113"/>
      <c r="J253" s="117"/>
    </row>
    <row r="254" spans="1:10" s="104" customFormat="1" ht="13.5" customHeight="1">
      <c r="A254" s="97">
        <v>87</v>
      </c>
      <c r="B254" s="98">
        <v>713</v>
      </c>
      <c r="C254" s="98" t="s">
        <v>275</v>
      </c>
      <c r="D254" s="98" t="s">
        <v>276</v>
      </c>
      <c r="E254" s="98" t="s">
        <v>48</v>
      </c>
      <c r="F254" s="99">
        <f>F264</f>
        <v>101.5</v>
      </c>
      <c r="G254" s="673"/>
      <c r="H254" s="100">
        <f>F254*G254</f>
        <v>0</v>
      </c>
      <c r="J254" s="101"/>
    </row>
    <row r="255" spans="1:10" s="114" customFormat="1" ht="13.5" customHeight="1">
      <c r="A255" s="111"/>
      <c r="B255" s="102"/>
      <c r="C255" s="102"/>
      <c r="D255" s="102" t="s">
        <v>267</v>
      </c>
      <c r="E255" s="102"/>
      <c r="F255" s="112"/>
      <c r="G255" s="677"/>
      <c r="H255" s="113"/>
      <c r="J255" s="117"/>
    </row>
    <row r="256" spans="1:10" s="114" customFormat="1" ht="13.5" customHeight="1">
      <c r="A256" s="111"/>
      <c r="B256" s="102"/>
      <c r="C256" s="102"/>
      <c r="D256" s="102" t="s">
        <v>219</v>
      </c>
      <c r="E256" s="102"/>
      <c r="F256" s="112"/>
      <c r="G256" s="677"/>
      <c r="H256" s="113"/>
      <c r="J256" s="117"/>
    </row>
    <row r="257" spans="1:10" s="114" customFormat="1" ht="27" customHeight="1">
      <c r="A257" s="111"/>
      <c r="B257" s="102"/>
      <c r="C257" s="102"/>
      <c r="D257" s="102" t="s">
        <v>261</v>
      </c>
      <c r="E257" s="102"/>
      <c r="F257" s="112"/>
      <c r="G257" s="677"/>
      <c r="H257" s="113"/>
      <c r="J257" s="117"/>
    </row>
    <row r="258" spans="1:10" s="114" customFormat="1" ht="13.5" customHeight="1">
      <c r="A258" s="111"/>
      <c r="B258" s="102"/>
      <c r="C258" s="102"/>
      <c r="D258" s="102" t="s">
        <v>262</v>
      </c>
      <c r="E258" s="102"/>
      <c r="F258" s="112"/>
      <c r="G258" s="677"/>
      <c r="H258" s="113"/>
      <c r="J258" s="117"/>
    </row>
    <row r="259" spans="1:10" s="114" customFormat="1" ht="13.5" customHeight="1">
      <c r="A259" s="111"/>
      <c r="B259" s="102"/>
      <c r="C259" s="102"/>
      <c r="D259" s="102" t="s">
        <v>250</v>
      </c>
      <c r="E259" s="102"/>
      <c r="F259" s="112"/>
      <c r="G259" s="677"/>
      <c r="H259" s="113"/>
      <c r="J259" s="117"/>
    </row>
    <row r="260" spans="1:10" s="114" customFormat="1" ht="13.5" customHeight="1">
      <c r="A260" s="111"/>
      <c r="B260" s="102"/>
      <c r="C260" s="102"/>
      <c r="D260" s="102" t="s">
        <v>251</v>
      </c>
      <c r="E260" s="102"/>
      <c r="F260" s="112"/>
      <c r="G260" s="677"/>
      <c r="H260" s="113"/>
      <c r="J260" s="117"/>
    </row>
    <row r="261" spans="1:10" s="114" customFormat="1" ht="13.5" customHeight="1">
      <c r="A261" s="111"/>
      <c r="B261" s="102"/>
      <c r="C261" s="102"/>
      <c r="D261" s="102" t="s">
        <v>250</v>
      </c>
      <c r="E261" s="102"/>
      <c r="F261" s="112"/>
      <c r="G261" s="677"/>
      <c r="H261" s="113"/>
      <c r="J261" s="117"/>
    </row>
    <row r="262" spans="1:10" s="114" customFormat="1" ht="13.5" customHeight="1">
      <c r="A262" s="111"/>
      <c r="B262" s="102"/>
      <c r="C262" s="102"/>
      <c r="D262" s="102" t="s">
        <v>277</v>
      </c>
      <c r="E262" s="102"/>
      <c r="F262" s="112"/>
      <c r="G262" s="677"/>
      <c r="H262" s="113"/>
      <c r="J262" s="117"/>
    </row>
    <row r="263" spans="1:10" s="114" customFormat="1" ht="13.5" customHeight="1">
      <c r="A263" s="111"/>
      <c r="B263" s="102"/>
      <c r="C263" s="102"/>
      <c r="D263" s="102" t="s">
        <v>250</v>
      </c>
      <c r="E263" s="102"/>
      <c r="F263" s="112"/>
      <c r="G263" s="677"/>
      <c r="H263" s="113"/>
      <c r="J263" s="117"/>
    </row>
    <row r="264" spans="1:10" s="114" customFormat="1" ht="13.5" customHeight="1">
      <c r="A264" s="111"/>
      <c r="B264" s="102"/>
      <c r="C264" s="102"/>
      <c r="D264" s="102" t="s">
        <v>278</v>
      </c>
      <c r="E264" s="102"/>
      <c r="F264" s="112">
        <v>101.5</v>
      </c>
      <c r="G264" s="677"/>
      <c r="H264" s="113"/>
      <c r="J264" s="117"/>
    </row>
    <row r="265" spans="1:10" s="114" customFormat="1" ht="24" customHeight="1">
      <c r="A265" s="111"/>
      <c r="B265" s="102"/>
      <c r="C265" s="102"/>
      <c r="D265" s="449" t="s">
        <v>1466</v>
      </c>
      <c r="E265" s="102"/>
      <c r="F265" s="112"/>
      <c r="G265" s="677"/>
      <c r="H265" s="113"/>
      <c r="J265" s="117"/>
    </row>
    <row r="266" spans="1:10" s="104" customFormat="1" ht="13.5" customHeight="1">
      <c r="A266" s="97">
        <v>88</v>
      </c>
      <c r="B266" s="98">
        <v>713</v>
      </c>
      <c r="C266" s="98" t="s">
        <v>279</v>
      </c>
      <c r="D266" s="98" t="s">
        <v>280</v>
      </c>
      <c r="E266" s="98" t="s">
        <v>48</v>
      </c>
      <c r="F266" s="99">
        <f>F277</f>
        <v>61.4</v>
      </c>
      <c r="G266" s="673"/>
      <c r="H266" s="100">
        <f>F266*G266</f>
        <v>0</v>
      </c>
      <c r="J266" s="101"/>
    </row>
    <row r="267" spans="1:10" s="114" customFormat="1" ht="13.5" customHeight="1">
      <c r="A267" s="111"/>
      <c r="B267" s="102"/>
      <c r="C267" s="102"/>
      <c r="D267" s="102" t="s">
        <v>281</v>
      </c>
      <c r="E267" s="102"/>
      <c r="F267" s="112"/>
      <c r="G267" s="677"/>
      <c r="H267" s="113"/>
      <c r="J267" s="117"/>
    </row>
    <row r="268" spans="1:10" s="114" customFormat="1" ht="13.5" customHeight="1">
      <c r="A268" s="111"/>
      <c r="B268" s="102"/>
      <c r="C268" s="102"/>
      <c r="D268" s="102" t="s">
        <v>219</v>
      </c>
      <c r="E268" s="102"/>
      <c r="F268" s="112"/>
      <c r="G268" s="677"/>
      <c r="H268" s="113"/>
      <c r="J268" s="117"/>
    </row>
    <row r="269" spans="1:10" s="114" customFormat="1" ht="27" customHeight="1">
      <c r="A269" s="111"/>
      <c r="B269" s="102"/>
      <c r="C269" s="102"/>
      <c r="D269" s="102" t="s">
        <v>256</v>
      </c>
      <c r="E269" s="102"/>
      <c r="F269" s="112"/>
      <c r="G269" s="677"/>
      <c r="H269" s="113"/>
      <c r="J269" s="117"/>
    </row>
    <row r="270" spans="1:10" s="114" customFormat="1" ht="13.5" customHeight="1">
      <c r="A270" s="111"/>
      <c r="B270" s="102"/>
      <c r="C270" s="102"/>
      <c r="D270" s="102" t="s">
        <v>257</v>
      </c>
      <c r="E270" s="102"/>
      <c r="F270" s="112"/>
      <c r="G270" s="677"/>
      <c r="H270" s="113"/>
      <c r="J270" s="117"/>
    </row>
    <row r="271" spans="1:10" s="114" customFormat="1" ht="13.5" customHeight="1">
      <c r="A271" s="111"/>
      <c r="B271" s="102"/>
      <c r="C271" s="102"/>
      <c r="D271" s="102" t="s">
        <v>262</v>
      </c>
      <c r="E271" s="102"/>
      <c r="F271" s="112"/>
      <c r="G271" s="677"/>
      <c r="H271" s="113"/>
      <c r="J271" s="117"/>
    </row>
    <row r="272" spans="1:10" s="114" customFormat="1" ht="13.5" customHeight="1">
      <c r="A272" s="111"/>
      <c r="B272" s="102"/>
      <c r="C272" s="102"/>
      <c r="D272" s="102" t="s">
        <v>250</v>
      </c>
      <c r="E272" s="102"/>
      <c r="F272" s="112"/>
      <c r="G272" s="677"/>
      <c r="H272" s="113"/>
      <c r="J272" s="117"/>
    </row>
    <row r="273" spans="1:10" s="114" customFormat="1" ht="13.5" customHeight="1">
      <c r="A273" s="111"/>
      <c r="B273" s="102"/>
      <c r="C273" s="102"/>
      <c r="D273" s="102" t="s">
        <v>274</v>
      </c>
      <c r="E273" s="102"/>
      <c r="F273" s="112"/>
      <c r="G273" s="677"/>
      <c r="H273" s="113"/>
      <c r="J273" s="117"/>
    </row>
    <row r="274" spans="1:10" s="114" customFormat="1" ht="13.5" customHeight="1">
      <c r="A274" s="111"/>
      <c r="B274" s="102"/>
      <c r="C274" s="102"/>
      <c r="D274" s="102" t="s">
        <v>250</v>
      </c>
      <c r="E274" s="102"/>
      <c r="F274" s="112"/>
      <c r="G274" s="677"/>
      <c r="H274" s="113"/>
      <c r="J274" s="117"/>
    </row>
    <row r="275" spans="1:10" s="114" customFormat="1" ht="13.5" customHeight="1">
      <c r="A275" s="111"/>
      <c r="B275" s="102"/>
      <c r="C275" s="102"/>
      <c r="D275" s="102" t="s">
        <v>263</v>
      </c>
      <c r="E275" s="102"/>
      <c r="F275" s="112"/>
      <c r="G275" s="677"/>
      <c r="H275" s="113"/>
      <c r="J275" s="117"/>
    </row>
    <row r="276" spans="1:10" s="114" customFormat="1" ht="13.5" customHeight="1">
      <c r="A276" s="111"/>
      <c r="B276" s="102"/>
      <c r="C276" s="102"/>
      <c r="D276" s="102" t="s">
        <v>250</v>
      </c>
      <c r="E276" s="102"/>
      <c r="F276" s="112"/>
      <c r="G276" s="677"/>
      <c r="H276" s="113"/>
      <c r="J276" s="117"/>
    </row>
    <row r="277" spans="1:10" s="114" customFormat="1" ht="13.5" customHeight="1">
      <c r="A277" s="111"/>
      <c r="B277" s="102"/>
      <c r="C277" s="102"/>
      <c r="D277" s="102" t="s">
        <v>282</v>
      </c>
      <c r="E277" s="102"/>
      <c r="F277" s="112">
        <v>61.4</v>
      </c>
      <c r="G277" s="677"/>
      <c r="H277" s="113"/>
      <c r="J277" s="117"/>
    </row>
    <row r="278" spans="1:10" s="114" customFormat="1" ht="27" customHeight="1">
      <c r="A278" s="111"/>
      <c r="B278" s="102"/>
      <c r="C278" s="102"/>
      <c r="D278" s="449" t="s">
        <v>1466</v>
      </c>
      <c r="E278" s="102"/>
      <c r="F278" s="112"/>
      <c r="G278" s="677"/>
      <c r="H278" s="113"/>
      <c r="J278" s="117"/>
    </row>
    <row r="279" spans="1:10" s="114" customFormat="1" ht="13.5" customHeight="1">
      <c r="A279" s="97">
        <v>89</v>
      </c>
      <c r="B279" s="98">
        <v>998</v>
      </c>
      <c r="C279" s="98">
        <v>998713202</v>
      </c>
      <c r="D279" s="98" t="s">
        <v>283</v>
      </c>
      <c r="E279" s="98" t="s">
        <v>10</v>
      </c>
      <c r="F279" s="99">
        <v>1.95</v>
      </c>
      <c r="G279" s="673"/>
      <c r="H279" s="100">
        <f>F279*G279</f>
        <v>0</v>
      </c>
      <c r="J279" s="123"/>
    </row>
    <row r="280" spans="1:10" s="104" customFormat="1" ht="13.5" customHeight="1">
      <c r="A280" s="97">
        <v>90</v>
      </c>
      <c r="B280" s="98">
        <v>713</v>
      </c>
      <c r="C280" s="98" t="s">
        <v>284</v>
      </c>
      <c r="D280" s="98" t="s">
        <v>285</v>
      </c>
      <c r="E280" s="98" t="s">
        <v>25</v>
      </c>
      <c r="F280" s="99">
        <v>1</v>
      </c>
      <c r="G280" s="673"/>
      <c r="H280" s="100">
        <f>F280*G280</f>
        <v>0</v>
      </c>
      <c r="J280" s="101"/>
    </row>
    <row r="281" spans="1:10" s="104" customFormat="1" ht="17.4" customHeight="1">
      <c r="A281" s="111"/>
      <c r="B281" s="102"/>
      <c r="C281" s="102"/>
      <c r="D281" s="102" t="s">
        <v>213</v>
      </c>
      <c r="E281" s="102"/>
      <c r="F281" s="112">
        <v>1</v>
      </c>
      <c r="G281" s="677"/>
      <c r="H281" s="113"/>
      <c r="I281" s="114"/>
      <c r="J281" s="117"/>
    </row>
    <row r="282" spans="1:8" ht="15" customHeight="1">
      <c r="A282" s="93"/>
      <c r="B282" s="94"/>
      <c r="C282" s="94">
        <v>730</v>
      </c>
      <c r="D282" s="94" t="s">
        <v>286</v>
      </c>
      <c r="E282" s="94"/>
      <c r="F282" s="95"/>
      <c r="G282" s="678"/>
      <c r="H282" s="96">
        <f>SUM(H283:H287)</f>
        <v>0</v>
      </c>
    </row>
    <row r="283" spans="1:10" s="104" customFormat="1" ht="13.5" customHeight="1">
      <c r="A283" s="97">
        <v>91</v>
      </c>
      <c r="B283" s="98">
        <v>735</v>
      </c>
      <c r="C283" s="98">
        <v>735151811</v>
      </c>
      <c r="D283" s="98" t="s">
        <v>287</v>
      </c>
      <c r="E283" s="98" t="s">
        <v>25</v>
      </c>
      <c r="F283" s="99">
        <f>F284</f>
        <v>15</v>
      </c>
      <c r="G283" s="673"/>
      <c r="H283" s="100">
        <f>F283*G283</f>
        <v>0</v>
      </c>
      <c r="J283" s="101"/>
    </row>
    <row r="284" spans="1:10" s="104" customFormat="1" ht="13.5" customHeight="1">
      <c r="A284" s="111"/>
      <c r="B284" s="102"/>
      <c r="C284" s="102"/>
      <c r="D284" s="102" t="s">
        <v>288</v>
      </c>
      <c r="E284" s="102"/>
      <c r="F284" s="112">
        <v>15</v>
      </c>
      <c r="G284" s="677"/>
      <c r="H284" s="113"/>
      <c r="I284" s="114"/>
      <c r="J284" s="117"/>
    </row>
    <row r="285" spans="1:10" s="104" customFormat="1" ht="13.5" customHeight="1">
      <c r="A285" s="97">
        <v>92</v>
      </c>
      <c r="B285" s="98">
        <v>735</v>
      </c>
      <c r="C285" s="98">
        <v>735159110</v>
      </c>
      <c r="D285" s="98" t="s">
        <v>289</v>
      </c>
      <c r="E285" s="98" t="s">
        <v>25</v>
      </c>
      <c r="F285" s="99">
        <f>F286</f>
        <v>15</v>
      </c>
      <c r="G285" s="673"/>
      <c r="H285" s="100">
        <f>F285*G285</f>
        <v>0</v>
      </c>
      <c r="J285" s="101"/>
    </row>
    <row r="286" spans="1:10" s="104" customFormat="1" ht="13.5" customHeight="1">
      <c r="A286" s="111"/>
      <c r="B286" s="102"/>
      <c r="C286" s="102"/>
      <c r="D286" s="102" t="s">
        <v>290</v>
      </c>
      <c r="E286" s="102"/>
      <c r="F286" s="112">
        <f>F283</f>
        <v>15</v>
      </c>
      <c r="G286" s="677"/>
      <c r="H286" s="113"/>
      <c r="I286" s="114"/>
      <c r="J286" s="117"/>
    </row>
    <row r="287" spans="1:10" s="116" customFormat="1" ht="13.5" customHeight="1">
      <c r="A287" s="105">
        <v>93</v>
      </c>
      <c r="B287" s="106">
        <v>484</v>
      </c>
      <c r="C287" s="106">
        <v>48452974</v>
      </c>
      <c r="D287" s="106" t="s">
        <v>291</v>
      </c>
      <c r="E287" s="106" t="s">
        <v>25</v>
      </c>
      <c r="F287" s="107">
        <v>1</v>
      </c>
      <c r="G287" s="679"/>
      <c r="H287" s="108">
        <f>F287*G287</f>
        <v>0</v>
      </c>
      <c r="J287" s="109"/>
    </row>
    <row r="288" spans="1:8" ht="15" customHeight="1">
      <c r="A288" s="93"/>
      <c r="B288" s="94"/>
      <c r="C288" s="94">
        <v>751</v>
      </c>
      <c r="D288" s="94" t="s">
        <v>292</v>
      </c>
      <c r="E288" s="94"/>
      <c r="F288" s="95"/>
      <c r="G288" s="678"/>
      <c r="H288" s="96">
        <f>SUM(H289:H292)</f>
        <v>0</v>
      </c>
    </row>
    <row r="289" spans="1:10" s="104" customFormat="1" ht="13.5" customHeight="1">
      <c r="A289" s="97">
        <v>94</v>
      </c>
      <c r="B289" s="98">
        <v>751</v>
      </c>
      <c r="C289" s="98">
        <v>751511026</v>
      </c>
      <c r="D289" s="98" t="s">
        <v>293</v>
      </c>
      <c r="E289" s="98" t="s">
        <v>139</v>
      </c>
      <c r="F289" s="99">
        <f>F290</f>
        <v>22.3</v>
      </c>
      <c r="G289" s="673"/>
      <c r="H289" s="100">
        <f>F289*G289</f>
        <v>0</v>
      </c>
      <c r="J289" s="101"/>
    </row>
    <row r="290" spans="1:10" s="104" customFormat="1" ht="14.4" customHeight="1">
      <c r="A290" s="111"/>
      <c r="B290" s="102"/>
      <c r="C290" s="102"/>
      <c r="D290" s="102" t="s">
        <v>294</v>
      </c>
      <c r="E290" s="102"/>
      <c r="F290" s="112">
        <v>22.3</v>
      </c>
      <c r="G290" s="677"/>
      <c r="H290" s="113"/>
      <c r="I290" s="114"/>
      <c r="J290" s="117"/>
    </row>
    <row r="291" spans="1:10" s="104" customFormat="1" ht="16.2" customHeight="1">
      <c r="A291" s="97">
        <v>95</v>
      </c>
      <c r="B291" s="98">
        <v>751</v>
      </c>
      <c r="C291" s="98">
        <v>751511808</v>
      </c>
      <c r="D291" s="98" t="s">
        <v>295</v>
      </c>
      <c r="E291" s="98" t="s">
        <v>139</v>
      </c>
      <c r="F291" s="99">
        <f>F292</f>
        <v>22.3</v>
      </c>
      <c r="G291" s="673"/>
      <c r="H291" s="100">
        <f>F291*G291</f>
        <v>0</v>
      </c>
      <c r="J291" s="101"/>
    </row>
    <row r="292" spans="1:10" s="104" customFormat="1" ht="13.5" customHeight="1">
      <c r="A292" s="111"/>
      <c r="B292" s="102"/>
      <c r="C292" s="102"/>
      <c r="D292" s="102" t="s">
        <v>296</v>
      </c>
      <c r="E292" s="102"/>
      <c r="F292" s="112">
        <v>22.3</v>
      </c>
      <c r="G292" s="677"/>
      <c r="H292" s="113"/>
      <c r="I292" s="114"/>
      <c r="J292" s="117"/>
    </row>
    <row r="293" spans="1:8" ht="15" customHeight="1">
      <c r="A293" s="93"/>
      <c r="B293" s="94"/>
      <c r="C293" s="94">
        <v>762</v>
      </c>
      <c r="D293" s="94" t="s">
        <v>297</v>
      </c>
      <c r="E293" s="94"/>
      <c r="F293" s="95"/>
      <c r="G293" s="678"/>
      <c r="H293" s="96">
        <f>SUM(H294:H306)</f>
        <v>0</v>
      </c>
    </row>
    <row r="294" spans="1:10" s="104" customFormat="1" ht="13.5" customHeight="1">
      <c r="A294" s="97">
        <v>96</v>
      </c>
      <c r="B294" s="98">
        <v>762</v>
      </c>
      <c r="C294" s="98">
        <v>762331813</v>
      </c>
      <c r="D294" s="98" t="s">
        <v>298</v>
      </c>
      <c r="E294" s="98" t="s">
        <v>139</v>
      </c>
      <c r="F294" s="99">
        <f>F295</f>
        <v>420</v>
      </c>
      <c r="G294" s="673"/>
      <c r="H294" s="100">
        <f>F294*G294</f>
        <v>0</v>
      </c>
      <c r="J294" s="101"/>
    </row>
    <row r="295" spans="1:10" s="104" customFormat="1" ht="13.5" customHeight="1">
      <c r="A295" s="111"/>
      <c r="B295" s="102"/>
      <c r="C295" s="102"/>
      <c r="D295" s="102" t="s">
        <v>299</v>
      </c>
      <c r="E295" s="102"/>
      <c r="F295" s="112">
        <f>600-180</f>
        <v>420</v>
      </c>
      <c r="G295" s="677"/>
      <c r="H295" s="113"/>
      <c r="I295" s="114"/>
      <c r="J295" s="117"/>
    </row>
    <row r="296" spans="1:10" s="116" customFormat="1" ht="13.5" customHeight="1">
      <c r="A296" s="105">
        <v>97</v>
      </c>
      <c r="B296" s="106">
        <v>605</v>
      </c>
      <c r="C296" s="106">
        <v>60512131</v>
      </c>
      <c r="D296" s="106" t="s">
        <v>300</v>
      </c>
      <c r="E296" s="106" t="s">
        <v>51</v>
      </c>
      <c r="F296" s="107">
        <f>20.2-6</f>
        <v>14.2</v>
      </c>
      <c r="G296" s="679"/>
      <c r="H296" s="108">
        <f>F296*G296</f>
        <v>0</v>
      </c>
      <c r="J296" s="109"/>
    </row>
    <row r="297" spans="1:10" s="104" customFormat="1" ht="13.5" customHeight="1">
      <c r="A297" s="97">
        <v>98</v>
      </c>
      <c r="B297" s="98">
        <v>762</v>
      </c>
      <c r="C297" s="98">
        <v>762341832</v>
      </c>
      <c r="D297" s="98" t="s">
        <v>301</v>
      </c>
      <c r="E297" s="98" t="s">
        <v>48</v>
      </c>
      <c r="F297" s="99">
        <f>SUM(F298:F298)</f>
        <v>18.6</v>
      </c>
      <c r="G297" s="673"/>
      <c r="H297" s="100">
        <f>F297*G297</f>
        <v>0</v>
      </c>
      <c r="J297" s="101"/>
    </row>
    <row r="298" spans="1:10" s="104" customFormat="1" ht="13.5" customHeight="1">
      <c r="A298" s="111"/>
      <c r="B298" s="102"/>
      <c r="C298" s="102"/>
      <c r="D298" s="102" t="s">
        <v>302</v>
      </c>
      <c r="E298" s="102"/>
      <c r="F298" s="112">
        <v>18.6</v>
      </c>
      <c r="G298" s="677"/>
      <c r="H298" s="113"/>
      <c r="I298" s="114"/>
      <c r="J298" s="117"/>
    </row>
    <row r="299" spans="1:10" s="104" customFormat="1" ht="13.5" customHeight="1">
      <c r="A299" s="97">
        <v>99</v>
      </c>
      <c r="B299" s="98">
        <v>762</v>
      </c>
      <c r="C299" s="98">
        <v>762342812</v>
      </c>
      <c r="D299" s="98" t="s">
        <v>303</v>
      </c>
      <c r="E299" s="98" t="s">
        <v>48</v>
      </c>
      <c r="F299" s="99">
        <f>F300</f>
        <v>1054</v>
      </c>
      <c r="G299" s="673"/>
      <c r="H299" s="100">
        <f>F299*G299</f>
        <v>0</v>
      </c>
      <c r="J299" s="101"/>
    </row>
    <row r="300" spans="1:10" s="104" customFormat="1" ht="15.6" customHeight="1">
      <c r="A300" s="111"/>
      <c r="B300" s="102"/>
      <c r="C300" s="102"/>
      <c r="D300" s="102" t="s">
        <v>1470</v>
      </c>
      <c r="E300" s="102"/>
      <c r="F300" s="112">
        <f>1505-451</f>
        <v>1054</v>
      </c>
      <c r="G300" s="677"/>
      <c r="H300" s="113"/>
      <c r="I300" s="114"/>
      <c r="J300" s="117"/>
    </row>
    <row r="301" spans="1:10" s="104" customFormat="1" ht="13.5" customHeight="1">
      <c r="A301" s="97">
        <v>100</v>
      </c>
      <c r="B301" s="98">
        <v>762</v>
      </c>
      <c r="C301" s="98" t="s">
        <v>304</v>
      </c>
      <c r="D301" s="98" t="s">
        <v>305</v>
      </c>
      <c r="E301" s="98" t="s">
        <v>25</v>
      </c>
      <c r="F301" s="99">
        <f>F302</f>
        <v>1</v>
      </c>
      <c r="G301" s="673"/>
      <c r="H301" s="100">
        <f>F301*G301</f>
        <v>0</v>
      </c>
      <c r="J301" s="101"/>
    </row>
    <row r="302" spans="1:10" s="104" customFormat="1" ht="19.2" customHeight="1">
      <c r="A302" s="111"/>
      <c r="B302" s="102"/>
      <c r="C302" s="102"/>
      <c r="D302" s="102" t="s">
        <v>306</v>
      </c>
      <c r="E302" s="102"/>
      <c r="F302" s="112">
        <v>1</v>
      </c>
      <c r="G302" s="677"/>
      <c r="H302" s="113"/>
      <c r="I302" s="114"/>
      <c r="J302" s="117"/>
    </row>
    <row r="303" spans="1:10" s="104" customFormat="1" ht="13.5" customHeight="1">
      <c r="A303" s="111"/>
      <c r="B303" s="102"/>
      <c r="C303" s="102"/>
      <c r="D303" s="102" t="s">
        <v>307</v>
      </c>
      <c r="E303" s="102"/>
      <c r="F303" s="112"/>
      <c r="G303" s="677"/>
      <c r="H303" s="113"/>
      <c r="I303" s="114"/>
      <c r="J303" s="117"/>
    </row>
    <row r="304" spans="1:10" s="104" customFormat="1" ht="13.5" customHeight="1">
      <c r="A304" s="97">
        <v>101</v>
      </c>
      <c r="B304" s="98">
        <v>998</v>
      </c>
      <c r="C304" s="98">
        <v>998762202</v>
      </c>
      <c r="D304" s="98" t="s">
        <v>308</v>
      </c>
      <c r="E304" s="98" t="s">
        <v>10</v>
      </c>
      <c r="F304" s="99">
        <v>5.58</v>
      </c>
      <c r="G304" s="673"/>
      <c r="H304" s="100">
        <f>F304*G304</f>
        <v>0</v>
      </c>
      <c r="J304" s="101"/>
    </row>
    <row r="305" spans="1:10" s="104" customFormat="1" ht="13.5" customHeight="1">
      <c r="A305" s="97">
        <v>102</v>
      </c>
      <c r="B305" s="98">
        <v>762</v>
      </c>
      <c r="C305" s="98" t="s">
        <v>309</v>
      </c>
      <c r="D305" s="98" t="s">
        <v>310</v>
      </c>
      <c r="E305" s="98" t="s">
        <v>25</v>
      </c>
      <c r="F305" s="99">
        <v>1</v>
      </c>
      <c r="G305" s="673"/>
      <c r="H305" s="100">
        <f>F305*G305</f>
        <v>0</v>
      </c>
      <c r="J305" s="101"/>
    </row>
    <row r="306" spans="1:10" s="104" customFormat="1" ht="14.4" customHeight="1">
      <c r="A306" s="111"/>
      <c r="B306" s="102"/>
      <c r="C306" s="102"/>
      <c r="D306" s="102" t="s">
        <v>213</v>
      </c>
      <c r="E306" s="102"/>
      <c r="F306" s="112">
        <v>1</v>
      </c>
      <c r="G306" s="677"/>
      <c r="H306" s="113"/>
      <c r="I306" s="114"/>
      <c r="J306" s="117"/>
    </row>
    <row r="307" spans="1:8" ht="15" customHeight="1">
      <c r="A307" s="93"/>
      <c r="B307" s="94"/>
      <c r="C307" s="94">
        <v>763</v>
      </c>
      <c r="D307" s="94" t="s">
        <v>311</v>
      </c>
      <c r="E307" s="94"/>
      <c r="F307" s="95"/>
      <c r="G307" s="678"/>
      <c r="H307" s="96">
        <f>SUM(H308:H328)</f>
        <v>0</v>
      </c>
    </row>
    <row r="308" spans="1:10" s="104" customFormat="1" ht="13.5" customHeight="1">
      <c r="A308" s="97">
        <v>103</v>
      </c>
      <c r="B308" s="98">
        <v>763</v>
      </c>
      <c r="C308" s="98" t="s">
        <v>312</v>
      </c>
      <c r="D308" s="98" t="s">
        <v>313</v>
      </c>
      <c r="E308" s="98" t="s">
        <v>48</v>
      </c>
      <c r="F308" s="99">
        <f>F309</f>
        <v>52.5</v>
      </c>
      <c r="G308" s="673"/>
      <c r="H308" s="100">
        <f>F308*G308</f>
        <v>0</v>
      </c>
      <c r="J308" s="101"/>
    </row>
    <row r="309" spans="1:10" s="104" customFormat="1" ht="13.5" customHeight="1">
      <c r="A309" s="111"/>
      <c r="B309" s="102"/>
      <c r="C309" s="102"/>
      <c r="D309" s="102" t="s">
        <v>314</v>
      </c>
      <c r="E309" s="102"/>
      <c r="F309" s="112">
        <v>52.5</v>
      </c>
      <c r="G309" s="677"/>
      <c r="H309" s="113"/>
      <c r="I309" s="114"/>
      <c r="J309" s="117"/>
    </row>
    <row r="310" spans="1:10" s="104" customFormat="1" ht="13.5" customHeight="1">
      <c r="A310" s="97">
        <v>104</v>
      </c>
      <c r="B310" s="98">
        <v>763</v>
      </c>
      <c r="C310" s="98" t="s">
        <v>315</v>
      </c>
      <c r="D310" s="98" t="s">
        <v>316</v>
      </c>
      <c r="E310" s="98" t="s">
        <v>48</v>
      </c>
      <c r="F310" s="99">
        <f>F311</f>
        <v>52.5</v>
      </c>
      <c r="G310" s="673"/>
      <c r="H310" s="100">
        <f>F310*G310</f>
        <v>0</v>
      </c>
      <c r="J310" s="101"/>
    </row>
    <row r="311" spans="1:10" s="104" customFormat="1" ht="13.5" customHeight="1">
      <c r="A311" s="111"/>
      <c r="B311" s="102"/>
      <c r="C311" s="102"/>
      <c r="D311" s="102" t="s">
        <v>317</v>
      </c>
      <c r="E311" s="102"/>
      <c r="F311" s="112">
        <v>52.5</v>
      </c>
      <c r="G311" s="677"/>
      <c r="H311" s="113"/>
      <c r="I311" s="114"/>
      <c r="J311" s="117"/>
    </row>
    <row r="312" spans="1:10" s="104" customFormat="1" ht="13.5" customHeight="1">
      <c r="A312" s="97">
        <v>105</v>
      </c>
      <c r="B312" s="98">
        <v>763</v>
      </c>
      <c r="C312" s="98">
        <v>763111812</v>
      </c>
      <c r="D312" s="98" t="s">
        <v>318</v>
      </c>
      <c r="E312" s="98" t="s">
        <v>48</v>
      </c>
      <c r="F312" s="99">
        <f>F313</f>
        <v>29.3</v>
      </c>
      <c r="G312" s="673"/>
      <c r="H312" s="100">
        <f>F312*G312</f>
        <v>0</v>
      </c>
      <c r="J312" s="101"/>
    </row>
    <row r="313" spans="1:10" s="104" customFormat="1" ht="13.5" customHeight="1">
      <c r="A313" s="111"/>
      <c r="B313" s="102"/>
      <c r="C313" s="102"/>
      <c r="D313" s="102" t="s">
        <v>319</v>
      </c>
      <c r="E313" s="102"/>
      <c r="F313" s="112">
        <v>29.3</v>
      </c>
      <c r="G313" s="677"/>
      <c r="H313" s="113"/>
      <c r="I313" s="114"/>
      <c r="J313" s="117"/>
    </row>
    <row r="314" spans="1:10" s="104" customFormat="1" ht="13.5" customHeight="1">
      <c r="A314" s="97">
        <v>106</v>
      </c>
      <c r="B314" s="98">
        <v>763</v>
      </c>
      <c r="C314" s="98">
        <v>763121812</v>
      </c>
      <c r="D314" s="98" t="s">
        <v>320</v>
      </c>
      <c r="E314" s="98" t="s">
        <v>48</v>
      </c>
      <c r="F314" s="99">
        <f>F315</f>
        <v>2.4</v>
      </c>
      <c r="G314" s="673"/>
      <c r="H314" s="100">
        <f>F314*G314</f>
        <v>0</v>
      </c>
      <c r="J314" s="101"/>
    </row>
    <row r="315" spans="1:10" s="104" customFormat="1" ht="13.5" customHeight="1">
      <c r="A315" s="111"/>
      <c r="B315" s="102"/>
      <c r="C315" s="102"/>
      <c r="D315" s="102" t="s">
        <v>321</v>
      </c>
      <c r="E315" s="102"/>
      <c r="F315" s="112">
        <v>2.4</v>
      </c>
      <c r="G315" s="677"/>
      <c r="H315" s="113"/>
      <c r="I315" s="114"/>
      <c r="J315" s="117"/>
    </row>
    <row r="316" spans="1:10" s="104" customFormat="1" ht="13.5" customHeight="1">
      <c r="A316" s="97">
        <v>107</v>
      </c>
      <c r="B316" s="98">
        <v>763</v>
      </c>
      <c r="C316" s="98">
        <v>763131314</v>
      </c>
      <c r="D316" s="98" t="s">
        <v>322</v>
      </c>
      <c r="E316" s="98" t="s">
        <v>48</v>
      </c>
      <c r="F316" s="99">
        <f>F317</f>
        <v>12</v>
      </c>
      <c r="G316" s="673"/>
      <c r="H316" s="100">
        <f>F316*G316</f>
        <v>0</v>
      </c>
      <c r="J316" s="101"/>
    </row>
    <row r="317" spans="1:10" s="104" customFormat="1" ht="27" customHeight="1">
      <c r="A317" s="111"/>
      <c r="B317" s="102"/>
      <c r="C317" s="102"/>
      <c r="D317" s="102" t="s">
        <v>323</v>
      </c>
      <c r="E317" s="102"/>
      <c r="F317" s="112">
        <v>12</v>
      </c>
      <c r="G317" s="677"/>
      <c r="H317" s="113"/>
      <c r="I317" s="114"/>
      <c r="J317" s="117"/>
    </row>
    <row r="318" spans="1:10" s="104" customFormat="1" ht="13.5" customHeight="1">
      <c r="A318" s="97">
        <v>108</v>
      </c>
      <c r="B318" s="98">
        <v>763</v>
      </c>
      <c r="C318" s="98">
        <v>763131432</v>
      </c>
      <c r="D318" s="98" t="s">
        <v>324</v>
      </c>
      <c r="E318" s="98" t="s">
        <v>48</v>
      </c>
      <c r="F318" s="99">
        <f>F319</f>
        <v>692.64</v>
      </c>
      <c r="G318" s="673"/>
      <c r="H318" s="100">
        <f>F318*G318</f>
        <v>0</v>
      </c>
      <c r="J318" s="101"/>
    </row>
    <row r="319" spans="1:10" s="104" customFormat="1" ht="13.5" customHeight="1">
      <c r="A319" s="111"/>
      <c r="B319" s="102"/>
      <c r="C319" s="102"/>
      <c r="D319" s="102" t="s">
        <v>325</v>
      </c>
      <c r="E319" s="102"/>
      <c r="F319" s="112">
        <f>(11.7*(75+17.3+26.1))*0.5</f>
        <v>692.64</v>
      </c>
      <c r="G319" s="677"/>
      <c r="H319" s="113"/>
      <c r="I319" s="114"/>
      <c r="J319" s="117"/>
    </row>
    <row r="320" spans="1:10" s="104" customFormat="1" ht="13.5" customHeight="1">
      <c r="A320" s="97">
        <v>109</v>
      </c>
      <c r="B320" s="98">
        <v>763</v>
      </c>
      <c r="C320" s="98">
        <v>763131832</v>
      </c>
      <c r="D320" s="98" t="s">
        <v>326</v>
      </c>
      <c r="E320" s="98" t="s">
        <v>48</v>
      </c>
      <c r="F320" s="99">
        <f>SUM(F321:F323)</f>
        <v>70.5</v>
      </c>
      <c r="G320" s="673"/>
      <c r="H320" s="100">
        <f>F320*G320</f>
        <v>0</v>
      </c>
      <c r="J320" s="101"/>
    </row>
    <row r="321" spans="1:10" s="104" customFormat="1" ht="13.5" customHeight="1">
      <c r="A321" s="111"/>
      <c r="B321" s="102"/>
      <c r="C321" s="102"/>
      <c r="D321" s="102" t="s">
        <v>327</v>
      </c>
      <c r="E321" s="102"/>
      <c r="F321" s="112">
        <v>15.6</v>
      </c>
      <c r="G321" s="677"/>
      <c r="H321" s="113"/>
      <c r="I321" s="114"/>
      <c r="J321" s="117"/>
    </row>
    <row r="322" spans="1:10" s="104" customFormat="1" ht="13.5" customHeight="1">
      <c r="A322" s="111"/>
      <c r="B322" s="102"/>
      <c r="C322" s="102"/>
      <c r="D322" s="102" t="s">
        <v>328</v>
      </c>
      <c r="E322" s="102"/>
      <c r="F322" s="112">
        <v>6.3</v>
      </c>
      <c r="G322" s="677"/>
      <c r="H322" s="113"/>
      <c r="I322" s="114"/>
      <c r="J322" s="117"/>
    </row>
    <row r="323" spans="1:10" s="104" customFormat="1" ht="13.5" customHeight="1">
      <c r="A323" s="111"/>
      <c r="B323" s="102"/>
      <c r="C323" s="102"/>
      <c r="D323" s="102" t="s">
        <v>329</v>
      </c>
      <c r="E323" s="102"/>
      <c r="F323" s="112">
        <v>48.6</v>
      </c>
      <c r="G323" s="677"/>
      <c r="H323" s="113"/>
      <c r="I323" s="114"/>
      <c r="J323" s="117"/>
    </row>
    <row r="324" spans="1:10" s="104" customFormat="1" ht="13.5" customHeight="1">
      <c r="A324" s="97">
        <v>110</v>
      </c>
      <c r="B324" s="98">
        <v>763</v>
      </c>
      <c r="C324" s="98">
        <v>763135811</v>
      </c>
      <c r="D324" s="98" t="s">
        <v>330</v>
      </c>
      <c r="E324" s="98" t="s">
        <v>48</v>
      </c>
      <c r="F324" s="99">
        <f>F325</f>
        <v>12</v>
      </c>
      <c r="G324" s="673"/>
      <c r="H324" s="100">
        <f>F324*G324</f>
        <v>0</v>
      </c>
      <c r="J324" s="101"/>
    </row>
    <row r="325" spans="1:10" s="104" customFormat="1" ht="13.5" customHeight="1">
      <c r="A325" s="111"/>
      <c r="B325" s="102"/>
      <c r="C325" s="102"/>
      <c r="D325" s="102" t="s">
        <v>331</v>
      </c>
      <c r="E325" s="102"/>
      <c r="F325" s="112">
        <v>12</v>
      </c>
      <c r="G325" s="677"/>
      <c r="H325" s="113"/>
      <c r="I325" s="114"/>
      <c r="J325" s="117"/>
    </row>
    <row r="326" spans="1:10" s="104" customFormat="1" ht="13.5" customHeight="1">
      <c r="A326" s="97">
        <v>111</v>
      </c>
      <c r="B326" s="98">
        <v>998</v>
      </c>
      <c r="C326" s="98">
        <v>998763402</v>
      </c>
      <c r="D326" s="98" t="s">
        <v>332</v>
      </c>
      <c r="E326" s="98" t="s">
        <v>10</v>
      </c>
      <c r="F326" s="99">
        <v>1.52</v>
      </c>
      <c r="G326" s="673"/>
      <c r="H326" s="100">
        <f>F326*G326</f>
        <v>0</v>
      </c>
      <c r="J326" s="101"/>
    </row>
    <row r="327" spans="1:10" s="104" customFormat="1" ht="13.5" customHeight="1">
      <c r="A327" s="97">
        <v>112</v>
      </c>
      <c r="B327" s="98">
        <v>763</v>
      </c>
      <c r="C327" s="98" t="s">
        <v>333</v>
      </c>
      <c r="D327" s="98" t="s">
        <v>334</v>
      </c>
      <c r="E327" s="98" t="s">
        <v>25</v>
      </c>
      <c r="F327" s="99">
        <v>1</v>
      </c>
      <c r="G327" s="673"/>
      <c r="H327" s="100">
        <f>F327*G327</f>
        <v>0</v>
      </c>
      <c r="J327" s="101"/>
    </row>
    <row r="328" spans="1:10" s="104" customFormat="1" ht="15.6" customHeight="1">
      <c r="A328" s="111"/>
      <c r="B328" s="102"/>
      <c r="C328" s="102"/>
      <c r="D328" s="102" t="s">
        <v>213</v>
      </c>
      <c r="E328" s="102"/>
      <c r="F328" s="112">
        <v>1</v>
      </c>
      <c r="G328" s="677"/>
      <c r="H328" s="113"/>
      <c r="I328" s="114"/>
      <c r="J328" s="117"/>
    </row>
    <row r="329" spans="1:8" ht="15" customHeight="1">
      <c r="A329" s="93"/>
      <c r="B329" s="94"/>
      <c r="C329" s="94">
        <v>764</v>
      </c>
      <c r="D329" s="94" t="s">
        <v>335</v>
      </c>
      <c r="E329" s="94"/>
      <c r="F329" s="95"/>
      <c r="G329" s="678"/>
      <c r="H329" s="96">
        <f>SUM(H330:H475)</f>
        <v>0</v>
      </c>
    </row>
    <row r="330" spans="1:10" s="104" customFormat="1" ht="27" customHeight="1">
      <c r="A330" s="97">
        <v>113</v>
      </c>
      <c r="B330" s="98">
        <v>764</v>
      </c>
      <c r="C330" s="98" t="s">
        <v>336</v>
      </c>
      <c r="D330" s="98" t="s">
        <v>337</v>
      </c>
      <c r="E330" s="98" t="s">
        <v>25</v>
      </c>
      <c r="F330" s="99">
        <f>F331</f>
        <v>102</v>
      </c>
      <c r="G330" s="673"/>
      <c r="H330" s="100">
        <f>F330*G330</f>
        <v>0</v>
      </c>
      <c r="J330" s="101"/>
    </row>
    <row r="331" spans="1:10" s="104" customFormat="1" ht="13.5" customHeight="1">
      <c r="A331" s="111"/>
      <c r="B331" s="102"/>
      <c r="C331" s="102"/>
      <c r="D331" s="102" t="s">
        <v>338</v>
      </c>
      <c r="E331" s="102"/>
      <c r="F331" s="112">
        <f>146-44</f>
        <v>102</v>
      </c>
      <c r="G331" s="677"/>
      <c r="H331" s="113"/>
      <c r="I331" s="114"/>
      <c r="J331" s="117"/>
    </row>
    <row r="332" spans="1:8" ht="15" customHeight="1">
      <c r="A332" s="93"/>
      <c r="B332" s="94"/>
      <c r="C332" s="94"/>
      <c r="D332" s="102" t="s">
        <v>339</v>
      </c>
      <c r="E332" s="94"/>
      <c r="F332" s="95"/>
      <c r="G332" s="678"/>
      <c r="H332" s="96"/>
    </row>
    <row r="333" spans="1:10" s="104" customFormat="1" ht="27" customHeight="1">
      <c r="A333" s="97">
        <v>114</v>
      </c>
      <c r="B333" s="98">
        <v>764</v>
      </c>
      <c r="C333" s="98" t="s">
        <v>340</v>
      </c>
      <c r="D333" s="98" t="s">
        <v>341</v>
      </c>
      <c r="E333" s="98" t="s">
        <v>25</v>
      </c>
      <c r="F333" s="99">
        <f>F334</f>
        <v>4</v>
      </c>
      <c r="G333" s="673"/>
      <c r="H333" s="100">
        <f>F333*G333</f>
        <v>0</v>
      </c>
      <c r="J333" s="101"/>
    </row>
    <row r="334" spans="1:10" s="104" customFormat="1" ht="13.5" customHeight="1">
      <c r="A334" s="111"/>
      <c r="B334" s="102"/>
      <c r="C334" s="102"/>
      <c r="D334" s="102" t="s">
        <v>342</v>
      </c>
      <c r="E334" s="102"/>
      <c r="F334" s="112">
        <v>4</v>
      </c>
      <c r="G334" s="677"/>
      <c r="H334" s="113"/>
      <c r="I334" s="114"/>
      <c r="J334" s="117"/>
    </row>
    <row r="335" spans="1:8" ht="15" customHeight="1">
      <c r="A335" s="93"/>
      <c r="B335" s="94"/>
      <c r="C335" s="94"/>
      <c r="D335" s="102" t="s">
        <v>339</v>
      </c>
      <c r="E335" s="94"/>
      <c r="F335" s="95"/>
      <c r="G335" s="678"/>
      <c r="H335" s="96"/>
    </row>
    <row r="336" spans="1:10" s="104" customFormat="1" ht="27" customHeight="1">
      <c r="A336" s="97">
        <v>115</v>
      </c>
      <c r="B336" s="98">
        <v>764</v>
      </c>
      <c r="C336" s="98" t="s">
        <v>343</v>
      </c>
      <c r="D336" s="98" t="s">
        <v>344</v>
      </c>
      <c r="E336" s="98" t="s">
        <v>25</v>
      </c>
      <c r="F336" s="99">
        <f>F337</f>
        <v>2</v>
      </c>
      <c r="G336" s="673"/>
      <c r="H336" s="100">
        <f>F336*G336</f>
        <v>0</v>
      </c>
      <c r="J336" s="101"/>
    </row>
    <row r="337" spans="1:10" s="104" customFormat="1" ht="13.5" customHeight="1">
      <c r="A337" s="111"/>
      <c r="B337" s="102"/>
      <c r="C337" s="102"/>
      <c r="D337" s="102" t="s">
        <v>345</v>
      </c>
      <c r="E337" s="102"/>
      <c r="F337" s="112">
        <v>2</v>
      </c>
      <c r="G337" s="677"/>
      <c r="H337" s="113"/>
      <c r="I337" s="114"/>
      <c r="J337" s="117"/>
    </row>
    <row r="338" spans="1:8" ht="15" customHeight="1">
      <c r="A338" s="93"/>
      <c r="B338" s="94"/>
      <c r="C338" s="94"/>
      <c r="D338" s="102" t="s">
        <v>339</v>
      </c>
      <c r="E338" s="94"/>
      <c r="F338" s="95"/>
      <c r="G338" s="678"/>
      <c r="H338" s="96"/>
    </row>
    <row r="339" spans="1:10" s="104" customFormat="1" ht="27" customHeight="1">
      <c r="A339" s="97">
        <v>116</v>
      </c>
      <c r="B339" s="98">
        <v>764</v>
      </c>
      <c r="C339" s="98" t="s">
        <v>346</v>
      </c>
      <c r="D339" s="98" t="s">
        <v>347</v>
      </c>
      <c r="E339" s="98" t="s">
        <v>25</v>
      </c>
      <c r="F339" s="99">
        <f>F340</f>
        <v>1</v>
      </c>
      <c r="G339" s="673"/>
      <c r="H339" s="100">
        <f>F339*G339</f>
        <v>0</v>
      </c>
      <c r="J339" s="101"/>
    </row>
    <row r="340" spans="1:10" s="104" customFormat="1" ht="13.5" customHeight="1">
      <c r="A340" s="111"/>
      <c r="B340" s="102"/>
      <c r="C340" s="102"/>
      <c r="D340" s="102" t="s">
        <v>348</v>
      </c>
      <c r="E340" s="102"/>
      <c r="F340" s="112">
        <v>1</v>
      </c>
      <c r="G340" s="677"/>
      <c r="H340" s="113"/>
      <c r="I340" s="114"/>
      <c r="J340" s="117"/>
    </row>
    <row r="341" spans="1:8" ht="15" customHeight="1">
      <c r="A341" s="93"/>
      <c r="B341" s="94"/>
      <c r="C341" s="94"/>
      <c r="D341" s="102" t="s">
        <v>339</v>
      </c>
      <c r="E341" s="94"/>
      <c r="F341" s="95"/>
      <c r="G341" s="678"/>
      <c r="H341" s="96"/>
    </row>
    <row r="342" spans="1:10" s="104" customFormat="1" ht="27" customHeight="1">
      <c r="A342" s="97">
        <v>117</v>
      </c>
      <c r="B342" s="98">
        <v>764</v>
      </c>
      <c r="C342" s="98" t="s">
        <v>349</v>
      </c>
      <c r="D342" s="98" t="s">
        <v>350</v>
      </c>
      <c r="E342" s="98" t="s">
        <v>25</v>
      </c>
      <c r="F342" s="99">
        <f>F343</f>
        <v>24</v>
      </c>
      <c r="G342" s="673"/>
      <c r="H342" s="100">
        <f>F342*G342</f>
        <v>0</v>
      </c>
      <c r="J342" s="101"/>
    </row>
    <row r="343" spans="1:10" s="104" customFormat="1" ht="13.5" customHeight="1">
      <c r="A343" s="111"/>
      <c r="B343" s="102"/>
      <c r="C343" s="102"/>
      <c r="D343" s="102" t="s">
        <v>351</v>
      </c>
      <c r="E343" s="102"/>
      <c r="F343" s="112">
        <v>24</v>
      </c>
      <c r="G343" s="677"/>
      <c r="H343" s="113"/>
      <c r="I343" s="114"/>
      <c r="J343" s="117"/>
    </row>
    <row r="344" spans="1:8" ht="15" customHeight="1">
      <c r="A344" s="93"/>
      <c r="B344" s="94"/>
      <c r="C344" s="94"/>
      <c r="D344" s="102" t="s">
        <v>339</v>
      </c>
      <c r="E344" s="94"/>
      <c r="F344" s="95"/>
      <c r="G344" s="678"/>
      <c r="H344" s="96"/>
    </row>
    <row r="345" spans="1:10" s="104" customFormat="1" ht="27" customHeight="1">
      <c r="A345" s="97">
        <v>118</v>
      </c>
      <c r="B345" s="98">
        <v>764</v>
      </c>
      <c r="C345" s="98" t="s">
        <v>352</v>
      </c>
      <c r="D345" s="98" t="s">
        <v>353</v>
      </c>
      <c r="E345" s="98" t="s">
        <v>25</v>
      </c>
      <c r="F345" s="99">
        <f>F346</f>
        <v>3</v>
      </c>
      <c r="G345" s="673"/>
      <c r="H345" s="100">
        <f>F345*G345</f>
        <v>0</v>
      </c>
      <c r="J345" s="101"/>
    </row>
    <row r="346" spans="1:10" s="104" customFormat="1" ht="13.5" customHeight="1">
      <c r="A346" s="111"/>
      <c r="B346" s="102"/>
      <c r="C346" s="102"/>
      <c r="D346" s="102" t="s">
        <v>354</v>
      </c>
      <c r="E346" s="102"/>
      <c r="F346" s="112">
        <v>3</v>
      </c>
      <c r="G346" s="677"/>
      <c r="H346" s="113"/>
      <c r="I346" s="114"/>
      <c r="J346" s="117"/>
    </row>
    <row r="347" spans="1:8" ht="15" customHeight="1">
      <c r="A347" s="93"/>
      <c r="B347" s="94"/>
      <c r="C347" s="94"/>
      <c r="D347" s="102" t="s">
        <v>339</v>
      </c>
      <c r="E347" s="94"/>
      <c r="F347" s="95"/>
      <c r="G347" s="678"/>
      <c r="H347" s="96"/>
    </row>
    <row r="348" spans="1:10" s="104" customFormat="1" ht="27" customHeight="1">
      <c r="A348" s="97">
        <v>119</v>
      </c>
      <c r="B348" s="98">
        <v>764</v>
      </c>
      <c r="C348" s="98" t="s">
        <v>355</v>
      </c>
      <c r="D348" s="98" t="s">
        <v>356</v>
      </c>
      <c r="E348" s="98" t="s">
        <v>25</v>
      </c>
      <c r="F348" s="99">
        <f>F349</f>
        <v>3</v>
      </c>
      <c r="G348" s="673"/>
      <c r="H348" s="100">
        <f>F348*G348</f>
        <v>0</v>
      </c>
      <c r="J348" s="101"/>
    </row>
    <row r="349" spans="1:10" s="104" customFormat="1" ht="13.5" customHeight="1">
      <c r="A349" s="111"/>
      <c r="B349" s="102"/>
      <c r="C349" s="102"/>
      <c r="D349" s="102" t="s">
        <v>357</v>
      </c>
      <c r="E349" s="102"/>
      <c r="F349" s="112">
        <v>3</v>
      </c>
      <c r="G349" s="677"/>
      <c r="H349" s="113"/>
      <c r="I349" s="114"/>
      <c r="J349" s="117"/>
    </row>
    <row r="350" spans="1:8" ht="15" customHeight="1">
      <c r="A350" s="93"/>
      <c r="B350" s="94"/>
      <c r="C350" s="94"/>
      <c r="D350" s="102" t="s">
        <v>339</v>
      </c>
      <c r="E350" s="94"/>
      <c r="F350" s="95"/>
      <c r="G350" s="678"/>
      <c r="H350" s="96"/>
    </row>
    <row r="351" spans="1:10" s="104" customFormat="1" ht="27" customHeight="1">
      <c r="A351" s="97">
        <v>120</v>
      </c>
      <c r="B351" s="98">
        <v>764</v>
      </c>
      <c r="C351" s="98" t="s">
        <v>358</v>
      </c>
      <c r="D351" s="98" t="s">
        <v>359</v>
      </c>
      <c r="E351" s="98" t="s">
        <v>25</v>
      </c>
      <c r="F351" s="99">
        <f>F352</f>
        <v>4</v>
      </c>
      <c r="G351" s="673"/>
      <c r="H351" s="100">
        <f>F351*G351</f>
        <v>0</v>
      </c>
      <c r="J351" s="101"/>
    </row>
    <row r="352" spans="1:10" s="104" customFormat="1" ht="13.5" customHeight="1">
      <c r="A352" s="111"/>
      <c r="B352" s="102"/>
      <c r="C352" s="102"/>
      <c r="D352" s="102" t="s">
        <v>360</v>
      </c>
      <c r="E352" s="102"/>
      <c r="F352" s="112">
        <v>4</v>
      </c>
      <c r="G352" s="677"/>
      <c r="H352" s="113"/>
      <c r="I352" s="114"/>
      <c r="J352" s="117"/>
    </row>
    <row r="353" spans="1:8" ht="15" customHeight="1">
      <c r="A353" s="93"/>
      <c r="B353" s="94"/>
      <c r="C353" s="94"/>
      <c r="D353" s="102" t="s">
        <v>339</v>
      </c>
      <c r="E353" s="94"/>
      <c r="F353" s="95"/>
      <c r="G353" s="678"/>
      <c r="H353" s="96"/>
    </row>
    <row r="354" spans="1:10" s="104" customFormat="1" ht="27" customHeight="1">
      <c r="A354" s="97">
        <v>121</v>
      </c>
      <c r="B354" s="98">
        <v>764</v>
      </c>
      <c r="C354" s="98" t="s">
        <v>361</v>
      </c>
      <c r="D354" s="98" t="s">
        <v>362</v>
      </c>
      <c r="E354" s="98" t="s">
        <v>25</v>
      </c>
      <c r="F354" s="99">
        <f>F355</f>
        <v>3</v>
      </c>
      <c r="G354" s="673"/>
      <c r="H354" s="100">
        <f>F354*G354</f>
        <v>0</v>
      </c>
      <c r="J354" s="101"/>
    </row>
    <row r="355" spans="1:10" s="104" customFormat="1" ht="13.5" customHeight="1">
      <c r="A355" s="111"/>
      <c r="B355" s="102"/>
      <c r="C355" s="102"/>
      <c r="D355" s="102" t="s">
        <v>363</v>
      </c>
      <c r="E355" s="102"/>
      <c r="F355" s="112">
        <v>3</v>
      </c>
      <c r="G355" s="677"/>
      <c r="H355" s="113"/>
      <c r="I355" s="114"/>
      <c r="J355" s="117"/>
    </row>
    <row r="356" spans="1:8" ht="15" customHeight="1">
      <c r="A356" s="93"/>
      <c r="B356" s="94"/>
      <c r="C356" s="94"/>
      <c r="D356" s="102" t="s">
        <v>339</v>
      </c>
      <c r="E356" s="94"/>
      <c r="F356" s="95"/>
      <c r="G356" s="678"/>
      <c r="H356" s="96"/>
    </row>
    <row r="357" spans="1:10" s="104" customFormat="1" ht="27" customHeight="1">
      <c r="A357" s="97">
        <v>122</v>
      </c>
      <c r="B357" s="98">
        <v>764</v>
      </c>
      <c r="C357" s="98" t="s">
        <v>364</v>
      </c>
      <c r="D357" s="98" t="s">
        <v>365</v>
      </c>
      <c r="E357" s="98" t="s">
        <v>25</v>
      </c>
      <c r="F357" s="99">
        <f>F358</f>
        <v>9</v>
      </c>
      <c r="G357" s="673"/>
      <c r="H357" s="100">
        <f>F357*G357</f>
        <v>0</v>
      </c>
      <c r="J357" s="101"/>
    </row>
    <row r="358" spans="1:10" s="104" customFormat="1" ht="13.5" customHeight="1">
      <c r="A358" s="111"/>
      <c r="B358" s="102"/>
      <c r="C358" s="102"/>
      <c r="D358" s="102" t="s">
        <v>342</v>
      </c>
      <c r="E358" s="102"/>
      <c r="F358" s="112">
        <v>9</v>
      </c>
      <c r="G358" s="677"/>
      <c r="H358" s="113"/>
      <c r="I358" s="114"/>
      <c r="J358" s="117"/>
    </row>
    <row r="359" spans="1:8" ht="15" customHeight="1">
      <c r="A359" s="93"/>
      <c r="B359" s="94"/>
      <c r="C359" s="94"/>
      <c r="D359" s="102" t="s">
        <v>339</v>
      </c>
      <c r="E359" s="94"/>
      <c r="F359" s="95"/>
      <c r="G359" s="678"/>
      <c r="H359" s="96"/>
    </row>
    <row r="360" spans="1:10" s="104" customFormat="1" ht="27" customHeight="1">
      <c r="A360" s="97">
        <v>123</v>
      </c>
      <c r="B360" s="98">
        <v>764</v>
      </c>
      <c r="C360" s="98" t="s">
        <v>366</v>
      </c>
      <c r="D360" s="98" t="s">
        <v>367</v>
      </c>
      <c r="E360" s="98" t="s">
        <v>25</v>
      </c>
      <c r="F360" s="99">
        <f>F361</f>
        <v>26</v>
      </c>
      <c r="G360" s="673"/>
      <c r="H360" s="100">
        <f>F360*G360</f>
        <v>0</v>
      </c>
      <c r="J360" s="101"/>
    </row>
    <row r="361" spans="1:10" s="104" customFormat="1" ht="13.5" customHeight="1">
      <c r="A361" s="111"/>
      <c r="B361" s="102"/>
      <c r="C361" s="102"/>
      <c r="D361" s="102" t="s">
        <v>342</v>
      </c>
      <c r="E361" s="102"/>
      <c r="F361" s="112">
        <v>26</v>
      </c>
      <c r="G361" s="677"/>
      <c r="H361" s="113"/>
      <c r="I361" s="114"/>
      <c r="J361" s="117"/>
    </row>
    <row r="362" spans="1:8" ht="15" customHeight="1">
      <c r="A362" s="93"/>
      <c r="B362" s="94"/>
      <c r="C362" s="94"/>
      <c r="D362" s="102" t="s">
        <v>339</v>
      </c>
      <c r="E362" s="94"/>
      <c r="F362" s="95"/>
      <c r="G362" s="678"/>
      <c r="H362" s="96"/>
    </row>
    <row r="363" spans="1:10" s="104" customFormat="1" ht="27" customHeight="1">
      <c r="A363" s="97">
        <v>124</v>
      </c>
      <c r="B363" s="98">
        <v>764</v>
      </c>
      <c r="C363" s="98" t="s">
        <v>368</v>
      </c>
      <c r="D363" s="98" t="s">
        <v>369</v>
      </c>
      <c r="E363" s="98" t="s">
        <v>139</v>
      </c>
      <c r="F363" s="99">
        <f>F364</f>
        <v>97.1</v>
      </c>
      <c r="G363" s="673"/>
      <c r="H363" s="100">
        <f>F363*G363</f>
        <v>0</v>
      </c>
      <c r="J363" s="101"/>
    </row>
    <row r="364" spans="1:10" s="104" customFormat="1" ht="13.5" customHeight="1">
      <c r="A364" s="111"/>
      <c r="B364" s="102"/>
      <c r="C364" s="102"/>
      <c r="D364" s="102" t="s">
        <v>342</v>
      </c>
      <c r="E364" s="102"/>
      <c r="F364" s="112">
        <f>139.1-42</f>
        <v>97.1</v>
      </c>
      <c r="G364" s="677"/>
      <c r="H364" s="113"/>
      <c r="I364" s="114"/>
      <c r="J364" s="117"/>
    </row>
    <row r="365" spans="1:8" ht="15" customHeight="1">
      <c r="A365" s="93"/>
      <c r="B365" s="94"/>
      <c r="C365" s="94"/>
      <c r="D365" s="102" t="s">
        <v>339</v>
      </c>
      <c r="E365" s="94"/>
      <c r="F365" s="95"/>
      <c r="G365" s="678"/>
      <c r="H365" s="96"/>
    </row>
    <row r="366" spans="1:10" s="104" customFormat="1" ht="27" customHeight="1">
      <c r="A366" s="97">
        <v>125</v>
      </c>
      <c r="B366" s="98">
        <v>764</v>
      </c>
      <c r="C366" s="98" t="s">
        <v>370</v>
      </c>
      <c r="D366" s="98" t="s">
        <v>371</v>
      </c>
      <c r="E366" s="98" t="s">
        <v>139</v>
      </c>
      <c r="F366" s="99">
        <f>F367</f>
        <v>164.7</v>
      </c>
      <c r="G366" s="673"/>
      <c r="H366" s="100">
        <f>F366*G366</f>
        <v>0</v>
      </c>
      <c r="J366" s="101"/>
    </row>
    <row r="367" spans="1:10" s="104" customFormat="1" ht="13.5" customHeight="1">
      <c r="A367" s="111"/>
      <c r="B367" s="102"/>
      <c r="C367" s="102"/>
      <c r="D367" s="102" t="s">
        <v>342</v>
      </c>
      <c r="E367" s="102"/>
      <c r="F367" s="112">
        <f>234.7-70</f>
        <v>164.7</v>
      </c>
      <c r="G367" s="677"/>
      <c r="H367" s="113"/>
      <c r="I367" s="114"/>
      <c r="J367" s="117"/>
    </row>
    <row r="368" spans="1:8" ht="15" customHeight="1">
      <c r="A368" s="93"/>
      <c r="B368" s="94"/>
      <c r="C368" s="94"/>
      <c r="D368" s="102" t="s">
        <v>339</v>
      </c>
      <c r="E368" s="94"/>
      <c r="F368" s="95"/>
      <c r="G368" s="678"/>
      <c r="H368" s="96"/>
    </row>
    <row r="369" spans="1:10" s="104" customFormat="1" ht="13.5" customHeight="1">
      <c r="A369" s="97">
        <v>126</v>
      </c>
      <c r="B369" s="98">
        <v>764</v>
      </c>
      <c r="C369" s="98" t="s">
        <v>372</v>
      </c>
      <c r="D369" s="98" t="s">
        <v>373</v>
      </c>
      <c r="E369" s="98" t="s">
        <v>139</v>
      </c>
      <c r="F369" s="99">
        <f>F370</f>
        <v>100.6</v>
      </c>
      <c r="G369" s="673"/>
      <c r="H369" s="100">
        <f>F369*G369</f>
        <v>0</v>
      </c>
      <c r="J369" s="101"/>
    </row>
    <row r="370" spans="1:10" s="104" customFormat="1" ht="13.5" customHeight="1">
      <c r="A370" s="111"/>
      <c r="B370" s="102"/>
      <c r="C370" s="102"/>
      <c r="D370" s="102" t="s">
        <v>374</v>
      </c>
      <c r="E370" s="102"/>
      <c r="F370" s="112">
        <f>143.6-43</f>
        <v>100.6</v>
      </c>
      <c r="G370" s="677"/>
      <c r="H370" s="113"/>
      <c r="I370" s="114"/>
      <c r="J370" s="117"/>
    </row>
    <row r="371" spans="1:8" ht="15" customHeight="1">
      <c r="A371" s="93"/>
      <c r="B371" s="94"/>
      <c r="C371" s="94"/>
      <c r="D371" s="102" t="s">
        <v>339</v>
      </c>
      <c r="E371" s="94"/>
      <c r="F371" s="95"/>
      <c r="G371" s="678"/>
      <c r="H371" s="96"/>
    </row>
    <row r="372" spans="1:10" s="104" customFormat="1" ht="13.5" customHeight="1">
      <c r="A372" s="97">
        <v>127</v>
      </c>
      <c r="B372" s="98">
        <v>764</v>
      </c>
      <c r="C372" s="98" t="s">
        <v>375</v>
      </c>
      <c r="D372" s="98" t="s">
        <v>376</v>
      </c>
      <c r="E372" s="98" t="s">
        <v>25</v>
      </c>
      <c r="F372" s="99">
        <f>F373</f>
        <v>49</v>
      </c>
      <c r="G372" s="673"/>
      <c r="H372" s="100">
        <f>F372*G372</f>
        <v>0</v>
      </c>
      <c r="J372" s="101"/>
    </row>
    <row r="373" spans="1:10" s="104" customFormat="1" ht="13.5" customHeight="1">
      <c r="A373" s="111"/>
      <c r="B373" s="102"/>
      <c r="C373" s="102"/>
      <c r="D373" s="102" t="s">
        <v>374</v>
      </c>
      <c r="E373" s="102"/>
      <c r="F373" s="112">
        <f>70-21</f>
        <v>49</v>
      </c>
      <c r="G373" s="677"/>
      <c r="H373" s="113"/>
      <c r="I373" s="114"/>
      <c r="J373" s="117"/>
    </row>
    <row r="374" spans="1:8" ht="15" customHeight="1">
      <c r="A374" s="93"/>
      <c r="B374" s="94"/>
      <c r="C374" s="94"/>
      <c r="D374" s="102" t="s">
        <v>339</v>
      </c>
      <c r="E374" s="94"/>
      <c r="F374" s="95"/>
      <c r="G374" s="678"/>
      <c r="H374" s="96"/>
    </row>
    <row r="375" spans="1:10" s="104" customFormat="1" ht="13.5" customHeight="1">
      <c r="A375" s="97">
        <v>128</v>
      </c>
      <c r="B375" s="98">
        <v>764</v>
      </c>
      <c r="C375" s="98" t="s">
        <v>377</v>
      </c>
      <c r="D375" s="98" t="s">
        <v>378</v>
      </c>
      <c r="E375" s="98" t="s">
        <v>25</v>
      </c>
      <c r="F375" s="99">
        <f>F376</f>
        <v>4</v>
      </c>
      <c r="G375" s="673"/>
      <c r="H375" s="100">
        <f>F375*G375</f>
        <v>0</v>
      </c>
      <c r="J375" s="101"/>
    </row>
    <row r="376" spans="1:10" s="104" customFormat="1" ht="13.5" customHeight="1">
      <c r="A376" s="111"/>
      <c r="B376" s="102"/>
      <c r="C376" s="102"/>
      <c r="D376" s="102" t="s">
        <v>342</v>
      </c>
      <c r="E376" s="102"/>
      <c r="F376" s="112">
        <v>4</v>
      </c>
      <c r="G376" s="677"/>
      <c r="H376" s="113"/>
      <c r="I376" s="114"/>
      <c r="J376" s="117"/>
    </row>
    <row r="377" spans="1:8" ht="15" customHeight="1">
      <c r="A377" s="93"/>
      <c r="B377" s="94"/>
      <c r="C377" s="94"/>
      <c r="D377" s="102" t="s">
        <v>339</v>
      </c>
      <c r="E377" s="94"/>
      <c r="F377" s="95"/>
      <c r="G377" s="678"/>
      <c r="H377" s="96"/>
    </row>
    <row r="378" spans="1:10" s="104" customFormat="1" ht="13.5" customHeight="1">
      <c r="A378" s="97">
        <v>129</v>
      </c>
      <c r="B378" s="98">
        <v>764</v>
      </c>
      <c r="C378" s="98" t="s">
        <v>379</v>
      </c>
      <c r="D378" s="98" t="s">
        <v>380</v>
      </c>
      <c r="E378" s="98" t="s">
        <v>25</v>
      </c>
      <c r="F378" s="99">
        <f>F379</f>
        <v>8</v>
      </c>
      <c r="G378" s="673"/>
      <c r="H378" s="100">
        <f>F378*G378</f>
        <v>0</v>
      </c>
      <c r="J378" s="101"/>
    </row>
    <row r="379" spans="1:10" s="104" customFormat="1" ht="13.5" customHeight="1">
      <c r="A379" s="111"/>
      <c r="B379" s="102"/>
      <c r="C379" s="102"/>
      <c r="D379" s="102" t="s">
        <v>342</v>
      </c>
      <c r="E379" s="102"/>
      <c r="F379" s="112">
        <v>8</v>
      </c>
      <c r="G379" s="677"/>
      <c r="H379" s="113"/>
      <c r="I379" s="114"/>
      <c r="J379" s="117"/>
    </row>
    <row r="380" spans="1:8" ht="15" customHeight="1">
      <c r="A380" s="93"/>
      <c r="B380" s="94"/>
      <c r="C380" s="94"/>
      <c r="D380" s="102" t="s">
        <v>339</v>
      </c>
      <c r="E380" s="94"/>
      <c r="F380" s="95"/>
      <c r="G380" s="678"/>
      <c r="H380" s="96"/>
    </row>
    <row r="381" spans="1:10" s="104" customFormat="1" ht="16.2" customHeight="1">
      <c r="A381" s="97">
        <v>130</v>
      </c>
      <c r="B381" s="98">
        <v>764</v>
      </c>
      <c r="C381" s="98" t="s">
        <v>381</v>
      </c>
      <c r="D381" s="98" t="s">
        <v>382</v>
      </c>
      <c r="E381" s="98" t="s">
        <v>139</v>
      </c>
      <c r="F381" s="99">
        <f>F382</f>
        <v>44.3</v>
      </c>
      <c r="G381" s="673"/>
      <c r="H381" s="100">
        <f>F381*G381</f>
        <v>0</v>
      </c>
      <c r="J381" s="101"/>
    </row>
    <row r="382" spans="1:10" s="104" customFormat="1" ht="13.5" customHeight="1">
      <c r="A382" s="111"/>
      <c r="B382" s="102"/>
      <c r="C382" s="102"/>
      <c r="D382" s="102" t="s">
        <v>342</v>
      </c>
      <c r="E382" s="102"/>
      <c r="F382" s="112">
        <v>44.3</v>
      </c>
      <c r="G382" s="677"/>
      <c r="H382" s="113"/>
      <c r="I382" s="114"/>
      <c r="J382" s="117"/>
    </row>
    <row r="383" spans="1:8" ht="15" customHeight="1">
      <c r="A383" s="93"/>
      <c r="B383" s="94"/>
      <c r="C383" s="94"/>
      <c r="D383" s="102" t="s">
        <v>339</v>
      </c>
      <c r="E383" s="94"/>
      <c r="F383" s="95"/>
      <c r="G383" s="678"/>
      <c r="H383" s="96"/>
    </row>
    <row r="384" spans="1:10" s="104" customFormat="1" ht="13.5" customHeight="1">
      <c r="A384" s="97">
        <v>131</v>
      </c>
      <c r="B384" s="98">
        <v>764</v>
      </c>
      <c r="C384" s="98" t="s">
        <v>383</v>
      </c>
      <c r="D384" s="98" t="s">
        <v>384</v>
      </c>
      <c r="E384" s="98" t="s">
        <v>139</v>
      </c>
      <c r="F384" s="99">
        <f>F385</f>
        <v>57.7</v>
      </c>
      <c r="G384" s="673"/>
      <c r="H384" s="100">
        <f>F384*G384</f>
        <v>0</v>
      </c>
      <c r="J384" s="101"/>
    </row>
    <row r="385" spans="1:10" s="104" customFormat="1" ht="13.5" customHeight="1">
      <c r="A385" s="111"/>
      <c r="B385" s="102"/>
      <c r="C385" s="102"/>
      <c r="D385" s="102" t="s">
        <v>385</v>
      </c>
      <c r="E385" s="102"/>
      <c r="F385" s="112">
        <v>57.7</v>
      </c>
      <c r="G385" s="677"/>
      <c r="H385" s="113"/>
      <c r="I385" s="114"/>
      <c r="J385" s="117"/>
    </row>
    <row r="386" spans="1:8" ht="15" customHeight="1">
      <c r="A386" s="93"/>
      <c r="B386" s="94"/>
      <c r="C386" s="94"/>
      <c r="D386" s="102" t="s">
        <v>339</v>
      </c>
      <c r="E386" s="94"/>
      <c r="F386" s="95"/>
      <c r="G386" s="678"/>
      <c r="H386" s="96"/>
    </row>
    <row r="387" spans="1:10" s="104" customFormat="1" ht="13.5" customHeight="1">
      <c r="A387" s="97">
        <v>132</v>
      </c>
      <c r="B387" s="98">
        <v>764</v>
      </c>
      <c r="C387" s="98" t="s">
        <v>386</v>
      </c>
      <c r="D387" s="98" t="s">
        <v>387</v>
      </c>
      <c r="E387" s="98" t="s">
        <v>139</v>
      </c>
      <c r="F387" s="99">
        <f>F388</f>
        <v>164.7</v>
      </c>
      <c r="G387" s="673"/>
      <c r="H387" s="100">
        <f>F387*G387</f>
        <v>0</v>
      </c>
      <c r="J387" s="101"/>
    </row>
    <row r="388" spans="1:10" s="104" customFormat="1" ht="13.5" customHeight="1">
      <c r="A388" s="111"/>
      <c r="B388" s="102"/>
      <c r="C388" s="102"/>
      <c r="D388" s="102" t="s">
        <v>385</v>
      </c>
      <c r="E388" s="102"/>
      <c r="F388" s="112">
        <f>234.7-70</f>
        <v>164.7</v>
      </c>
      <c r="G388" s="677"/>
      <c r="H388" s="113"/>
      <c r="I388" s="114"/>
      <c r="J388" s="117"/>
    </row>
    <row r="389" spans="1:8" ht="15" customHeight="1">
      <c r="A389" s="93"/>
      <c r="B389" s="94"/>
      <c r="C389" s="94"/>
      <c r="D389" s="102" t="s">
        <v>339</v>
      </c>
      <c r="E389" s="94"/>
      <c r="F389" s="95"/>
      <c r="G389" s="678"/>
      <c r="H389" s="96"/>
    </row>
    <row r="390" spans="1:10" s="104" customFormat="1" ht="13.5" customHeight="1">
      <c r="A390" s="97">
        <v>133</v>
      </c>
      <c r="B390" s="98">
        <v>764</v>
      </c>
      <c r="C390" s="98" t="s">
        <v>388</v>
      </c>
      <c r="D390" s="98" t="s">
        <v>389</v>
      </c>
      <c r="E390" s="98" t="s">
        <v>139</v>
      </c>
      <c r="F390" s="99">
        <f>F391</f>
        <v>24</v>
      </c>
      <c r="G390" s="673"/>
      <c r="H390" s="100">
        <f>F390*G390</f>
        <v>0</v>
      </c>
      <c r="J390" s="101"/>
    </row>
    <row r="391" spans="1:10" s="104" customFormat="1" ht="13.5" customHeight="1">
      <c r="A391" s="111"/>
      <c r="B391" s="102"/>
      <c r="C391" s="102"/>
      <c r="D391" s="102" t="s">
        <v>385</v>
      </c>
      <c r="E391" s="102"/>
      <c r="F391" s="112">
        <v>24</v>
      </c>
      <c r="G391" s="677"/>
      <c r="H391" s="113"/>
      <c r="I391" s="114"/>
      <c r="J391" s="117"/>
    </row>
    <row r="392" spans="1:8" ht="15" customHeight="1">
      <c r="A392" s="93"/>
      <c r="B392" s="94"/>
      <c r="C392" s="94"/>
      <c r="D392" s="102" t="s">
        <v>339</v>
      </c>
      <c r="E392" s="94"/>
      <c r="F392" s="95"/>
      <c r="G392" s="678"/>
      <c r="H392" s="96"/>
    </row>
    <row r="393" spans="1:10" s="104" customFormat="1" ht="13.5" customHeight="1">
      <c r="A393" s="97">
        <v>134</v>
      </c>
      <c r="B393" s="98">
        <v>764</v>
      </c>
      <c r="C393" s="98" t="s">
        <v>390</v>
      </c>
      <c r="D393" s="98" t="s">
        <v>391</v>
      </c>
      <c r="E393" s="98" t="s">
        <v>25</v>
      </c>
      <c r="F393" s="99">
        <f>F394</f>
        <v>10</v>
      </c>
      <c r="G393" s="673"/>
      <c r="H393" s="100">
        <f>F393*G393</f>
        <v>0</v>
      </c>
      <c r="J393" s="101"/>
    </row>
    <row r="394" spans="1:10" s="104" customFormat="1" ht="13.5" customHeight="1">
      <c r="A394" s="111"/>
      <c r="B394" s="102"/>
      <c r="C394" s="102"/>
      <c r="D394" s="102" t="s">
        <v>385</v>
      </c>
      <c r="E394" s="102"/>
      <c r="F394" s="112">
        <v>10</v>
      </c>
      <c r="G394" s="677"/>
      <c r="H394" s="113"/>
      <c r="I394" s="114"/>
      <c r="J394" s="117"/>
    </row>
    <row r="395" spans="1:8" ht="15" customHeight="1">
      <c r="A395" s="93"/>
      <c r="B395" s="94"/>
      <c r="C395" s="94"/>
      <c r="D395" s="102" t="s">
        <v>339</v>
      </c>
      <c r="E395" s="94"/>
      <c r="F395" s="95"/>
      <c r="G395" s="678"/>
      <c r="H395" s="96"/>
    </row>
    <row r="396" spans="1:10" s="104" customFormat="1" ht="13.5" customHeight="1">
      <c r="A396" s="97">
        <v>135</v>
      </c>
      <c r="B396" s="98">
        <v>764</v>
      </c>
      <c r="C396" s="98" t="s">
        <v>392</v>
      </c>
      <c r="D396" s="98" t="s">
        <v>393</v>
      </c>
      <c r="E396" s="98" t="s">
        <v>25</v>
      </c>
      <c r="F396" s="99">
        <f>F397</f>
        <v>14</v>
      </c>
      <c r="G396" s="673"/>
      <c r="H396" s="100">
        <f>F396*G396</f>
        <v>0</v>
      </c>
      <c r="J396" s="101"/>
    </row>
    <row r="397" spans="1:10" s="104" customFormat="1" ht="13.5" customHeight="1">
      <c r="A397" s="111"/>
      <c r="B397" s="102"/>
      <c r="C397" s="102"/>
      <c r="D397" s="102" t="s">
        <v>385</v>
      </c>
      <c r="E397" s="102"/>
      <c r="F397" s="112">
        <v>14</v>
      </c>
      <c r="G397" s="677"/>
      <c r="H397" s="113"/>
      <c r="I397" s="114"/>
      <c r="J397" s="117"/>
    </row>
    <row r="398" spans="1:8" ht="15" customHeight="1">
      <c r="A398" s="93"/>
      <c r="B398" s="94"/>
      <c r="C398" s="94"/>
      <c r="D398" s="102" t="s">
        <v>339</v>
      </c>
      <c r="E398" s="94"/>
      <c r="F398" s="95"/>
      <c r="G398" s="678"/>
      <c r="H398" s="96"/>
    </row>
    <row r="399" spans="1:10" s="104" customFormat="1" ht="13.5" customHeight="1">
      <c r="A399" s="97">
        <v>136</v>
      </c>
      <c r="B399" s="98">
        <v>764</v>
      </c>
      <c r="C399" s="98" t="s">
        <v>394</v>
      </c>
      <c r="D399" s="98" t="s">
        <v>395</v>
      </c>
      <c r="E399" s="98" t="s">
        <v>25</v>
      </c>
      <c r="F399" s="99">
        <f>F400</f>
        <v>10</v>
      </c>
      <c r="G399" s="673"/>
      <c r="H399" s="100">
        <f>F399*G399</f>
        <v>0</v>
      </c>
      <c r="J399" s="101"/>
    </row>
    <row r="400" spans="1:10" s="104" customFormat="1" ht="13.5" customHeight="1">
      <c r="A400" s="111"/>
      <c r="B400" s="102"/>
      <c r="C400" s="102"/>
      <c r="D400" s="102" t="s">
        <v>385</v>
      </c>
      <c r="E400" s="102"/>
      <c r="F400" s="112">
        <v>10</v>
      </c>
      <c r="G400" s="677"/>
      <c r="H400" s="113"/>
      <c r="I400" s="114"/>
      <c r="J400" s="117"/>
    </row>
    <row r="401" spans="1:8" ht="15" customHeight="1">
      <c r="A401" s="93"/>
      <c r="B401" s="94"/>
      <c r="C401" s="94"/>
      <c r="D401" s="102" t="s">
        <v>339</v>
      </c>
      <c r="E401" s="94"/>
      <c r="F401" s="95"/>
      <c r="G401" s="678"/>
      <c r="H401" s="96"/>
    </row>
    <row r="402" spans="1:10" s="104" customFormat="1" ht="13.5" customHeight="1">
      <c r="A402" s="97">
        <v>137</v>
      </c>
      <c r="B402" s="98">
        <v>764</v>
      </c>
      <c r="C402" s="98" t="s">
        <v>396</v>
      </c>
      <c r="D402" s="98" t="s">
        <v>397</v>
      </c>
      <c r="E402" s="98" t="s">
        <v>25</v>
      </c>
      <c r="F402" s="99">
        <f>F403</f>
        <v>18</v>
      </c>
      <c r="G402" s="673"/>
      <c r="H402" s="100">
        <f>F402*G402</f>
        <v>0</v>
      </c>
      <c r="J402" s="101"/>
    </row>
    <row r="403" spans="1:10" s="104" customFormat="1" ht="13.5" customHeight="1">
      <c r="A403" s="111"/>
      <c r="B403" s="102"/>
      <c r="C403" s="102"/>
      <c r="D403" s="102" t="s">
        <v>385</v>
      </c>
      <c r="E403" s="102"/>
      <c r="F403" s="112">
        <v>18</v>
      </c>
      <c r="G403" s="677"/>
      <c r="H403" s="113"/>
      <c r="I403" s="114"/>
      <c r="J403" s="117"/>
    </row>
    <row r="404" spans="1:8" ht="15" customHeight="1">
      <c r="A404" s="93"/>
      <c r="B404" s="94"/>
      <c r="C404" s="94"/>
      <c r="D404" s="102" t="s">
        <v>339</v>
      </c>
      <c r="E404" s="94"/>
      <c r="F404" s="95"/>
      <c r="G404" s="678"/>
      <c r="H404" s="96"/>
    </row>
    <row r="405" spans="1:10" s="104" customFormat="1" ht="13.5" customHeight="1">
      <c r="A405" s="97">
        <v>138</v>
      </c>
      <c r="B405" s="98">
        <v>764</v>
      </c>
      <c r="C405" s="98" t="s">
        <v>398</v>
      </c>
      <c r="D405" s="98" t="s">
        <v>399</v>
      </c>
      <c r="E405" s="98" t="s">
        <v>25</v>
      </c>
      <c r="F405" s="99">
        <f>F406</f>
        <v>5</v>
      </c>
      <c r="G405" s="673"/>
      <c r="H405" s="100">
        <f>F405*G405</f>
        <v>0</v>
      </c>
      <c r="J405" s="101"/>
    </row>
    <row r="406" spans="1:10" s="104" customFormat="1" ht="13.5" customHeight="1">
      <c r="A406" s="111"/>
      <c r="B406" s="102"/>
      <c r="C406" s="102"/>
      <c r="D406" s="102" t="s">
        <v>385</v>
      </c>
      <c r="E406" s="102"/>
      <c r="F406" s="112">
        <v>5</v>
      </c>
      <c r="G406" s="677"/>
      <c r="H406" s="113"/>
      <c r="I406" s="114"/>
      <c r="J406" s="117"/>
    </row>
    <row r="407" spans="1:8" ht="15" customHeight="1">
      <c r="A407" s="93"/>
      <c r="B407" s="94"/>
      <c r="C407" s="94"/>
      <c r="D407" s="102" t="s">
        <v>339</v>
      </c>
      <c r="E407" s="94"/>
      <c r="F407" s="95"/>
      <c r="G407" s="678"/>
      <c r="H407" s="96"/>
    </row>
    <row r="408" spans="1:10" s="104" customFormat="1" ht="13.5" customHeight="1">
      <c r="A408" s="97">
        <v>139</v>
      </c>
      <c r="B408" s="98">
        <v>764</v>
      </c>
      <c r="C408" s="98" t="s">
        <v>400</v>
      </c>
      <c r="D408" s="98" t="s">
        <v>401</v>
      </c>
      <c r="E408" s="98" t="s">
        <v>139</v>
      </c>
      <c r="F408" s="99">
        <f>F409</f>
        <v>167</v>
      </c>
      <c r="G408" s="673"/>
      <c r="H408" s="100">
        <f>F408*G408</f>
        <v>0</v>
      </c>
      <c r="J408" s="101"/>
    </row>
    <row r="409" spans="1:10" s="104" customFormat="1" ht="13.5" customHeight="1">
      <c r="A409" s="111"/>
      <c r="B409" s="102"/>
      <c r="C409" s="102"/>
      <c r="D409" s="102" t="s">
        <v>385</v>
      </c>
      <c r="E409" s="102"/>
      <c r="F409" s="112">
        <f>238-71</f>
        <v>167</v>
      </c>
      <c r="G409" s="677"/>
      <c r="H409" s="113"/>
      <c r="I409" s="114"/>
      <c r="J409" s="117"/>
    </row>
    <row r="410" spans="1:8" ht="15" customHeight="1">
      <c r="A410" s="93"/>
      <c r="B410" s="94"/>
      <c r="C410" s="94"/>
      <c r="D410" s="102" t="s">
        <v>339</v>
      </c>
      <c r="E410" s="94"/>
      <c r="F410" s="95"/>
      <c r="G410" s="678"/>
      <c r="H410" s="96"/>
    </row>
    <row r="411" spans="1:10" s="104" customFormat="1" ht="13.5" customHeight="1">
      <c r="A411" s="97">
        <v>140</v>
      </c>
      <c r="B411" s="98">
        <v>764</v>
      </c>
      <c r="C411" s="98" t="s">
        <v>402</v>
      </c>
      <c r="D411" s="98" t="s">
        <v>403</v>
      </c>
      <c r="E411" s="98" t="s">
        <v>25</v>
      </c>
      <c r="F411" s="99">
        <f>F412</f>
        <v>67</v>
      </c>
      <c r="G411" s="673"/>
      <c r="H411" s="100">
        <f>F411*G411</f>
        <v>0</v>
      </c>
      <c r="J411" s="101"/>
    </row>
    <row r="412" spans="1:10" s="104" customFormat="1" ht="13.5" customHeight="1">
      <c r="A412" s="111"/>
      <c r="B412" s="102"/>
      <c r="C412" s="102"/>
      <c r="D412" s="102" t="s">
        <v>385</v>
      </c>
      <c r="E412" s="102"/>
      <c r="F412" s="112">
        <v>67</v>
      </c>
      <c r="G412" s="677"/>
      <c r="H412" s="113"/>
      <c r="I412" s="114"/>
      <c r="J412" s="117"/>
    </row>
    <row r="413" spans="1:8" ht="15" customHeight="1">
      <c r="A413" s="93"/>
      <c r="B413" s="94"/>
      <c r="C413" s="94"/>
      <c r="D413" s="102" t="s">
        <v>339</v>
      </c>
      <c r="E413" s="94"/>
      <c r="F413" s="95"/>
      <c r="G413" s="678"/>
      <c r="H413" s="96"/>
    </row>
    <row r="414" spans="1:10" s="104" customFormat="1" ht="13.5" customHeight="1">
      <c r="A414" s="97">
        <v>141</v>
      </c>
      <c r="B414" s="98">
        <v>764</v>
      </c>
      <c r="C414" s="98" t="s">
        <v>404</v>
      </c>
      <c r="D414" s="98" t="s">
        <v>405</v>
      </c>
      <c r="E414" s="98" t="s">
        <v>139</v>
      </c>
      <c r="F414" s="99">
        <f>F415</f>
        <v>11</v>
      </c>
      <c r="G414" s="673"/>
      <c r="H414" s="100">
        <f>F414*G414</f>
        <v>0</v>
      </c>
      <c r="J414" s="101"/>
    </row>
    <row r="415" spans="1:10" s="104" customFormat="1" ht="13.5" customHeight="1">
      <c r="A415" s="111"/>
      <c r="B415" s="102"/>
      <c r="C415" s="102"/>
      <c r="D415" s="102" t="s">
        <v>385</v>
      </c>
      <c r="E415" s="102"/>
      <c r="F415" s="112">
        <v>11</v>
      </c>
      <c r="G415" s="677"/>
      <c r="H415" s="113"/>
      <c r="I415" s="114"/>
      <c r="J415" s="117"/>
    </row>
    <row r="416" spans="1:8" ht="15" customHeight="1">
      <c r="A416" s="93"/>
      <c r="B416" s="94"/>
      <c r="C416" s="94"/>
      <c r="D416" s="102" t="s">
        <v>339</v>
      </c>
      <c r="E416" s="94"/>
      <c r="F416" s="95"/>
      <c r="G416" s="678"/>
      <c r="H416" s="96"/>
    </row>
    <row r="417" spans="1:10" s="104" customFormat="1" ht="13.5" customHeight="1">
      <c r="A417" s="97">
        <v>142</v>
      </c>
      <c r="B417" s="98">
        <v>764</v>
      </c>
      <c r="C417" s="98" t="s">
        <v>406</v>
      </c>
      <c r="D417" s="98" t="s">
        <v>407</v>
      </c>
      <c r="E417" s="98" t="s">
        <v>25</v>
      </c>
      <c r="F417" s="99">
        <f>F418</f>
        <v>13</v>
      </c>
      <c r="G417" s="673"/>
      <c r="H417" s="100">
        <f>F417*G417</f>
        <v>0</v>
      </c>
      <c r="J417" s="101"/>
    </row>
    <row r="418" spans="1:10" s="104" customFormat="1" ht="13.5" customHeight="1">
      <c r="A418" s="111"/>
      <c r="B418" s="102"/>
      <c r="C418" s="102"/>
      <c r="D418" s="102" t="s">
        <v>385</v>
      </c>
      <c r="E418" s="102"/>
      <c r="F418" s="112">
        <v>13</v>
      </c>
      <c r="G418" s="677"/>
      <c r="H418" s="113"/>
      <c r="I418" s="114"/>
      <c r="J418" s="117"/>
    </row>
    <row r="419" spans="1:8" ht="15" customHeight="1">
      <c r="A419" s="93"/>
      <c r="B419" s="94"/>
      <c r="C419" s="94"/>
      <c r="D419" s="102" t="s">
        <v>339</v>
      </c>
      <c r="E419" s="94"/>
      <c r="F419" s="95"/>
      <c r="G419" s="678"/>
      <c r="H419" s="96"/>
    </row>
    <row r="420" spans="1:10" s="104" customFormat="1" ht="13.5" customHeight="1">
      <c r="A420" s="97">
        <v>143</v>
      </c>
      <c r="B420" s="98">
        <v>764</v>
      </c>
      <c r="C420" s="98">
        <v>764004863</v>
      </c>
      <c r="D420" s="98" t="s">
        <v>408</v>
      </c>
      <c r="E420" s="98" t="s">
        <v>139</v>
      </c>
      <c r="F420" s="99">
        <f>F421</f>
        <v>10</v>
      </c>
      <c r="G420" s="673"/>
      <c r="H420" s="100">
        <f>F420*G420</f>
        <v>0</v>
      </c>
      <c r="J420" s="101"/>
    </row>
    <row r="421" spans="1:10" s="104" customFormat="1" ht="15" customHeight="1">
      <c r="A421" s="111"/>
      <c r="B421" s="102"/>
      <c r="C421" s="102"/>
      <c r="D421" s="102" t="s">
        <v>409</v>
      </c>
      <c r="E421" s="102"/>
      <c r="F421" s="112">
        <v>10</v>
      </c>
      <c r="G421" s="677"/>
      <c r="H421" s="113"/>
      <c r="I421" s="114"/>
      <c r="J421" s="117"/>
    </row>
    <row r="422" spans="1:10" s="104" customFormat="1" ht="13.5" customHeight="1">
      <c r="A422" s="97">
        <v>144</v>
      </c>
      <c r="B422" s="98">
        <v>764</v>
      </c>
      <c r="C422" s="98">
        <v>764508131</v>
      </c>
      <c r="D422" s="98" t="s">
        <v>410</v>
      </c>
      <c r="E422" s="98" t="s">
        <v>139</v>
      </c>
      <c r="F422" s="99">
        <f>F423</f>
        <v>10</v>
      </c>
      <c r="G422" s="673"/>
      <c r="H422" s="100">
        <f>F422*G422</f>
        <v>0</v>
      </c>
      <c r="J422" s="101"/>
    </row>
    <row r="423" spans="1:10" s="104" customFormat="1" ht="13.5" customHeight="1">
      <c r="A423" s="111"/>
      <c r="B423" s="102"/>
      <c r="C423" s="102"/>
      <c r="D423" s="102" t="s">
        <v>411</v>
      </c>
      <c r="E423" s="102"/>
      <c r="F423" s="112">
        <v>10</v>
      </c>
      <c r="G423" s="677"/>
      <c r="H423" s="113"/>
      <c r="I423" s="114"/>
      <c r="J423" s="117"/>
    </row>
    <row r="424" spans="1:10" s="104" customFormat="1" ht="13.5" customHeight="1">
      <c r="A424" s="111"/>
      <c r="B424" s="102"/>
      <c r="C424" s="102"/>
      <c r="D424" s="102" t="s">
        <v>412</v>
      </c>
      <c r="E424" s="102"/>
      <c r="F424" s="112"/>
      <c r="G424" s="677"/>
      <c r="H424" s="113"/>
      <c r="I424" s="114"/>
      <c r="J424" s="117"/>
    </row>
    <row r="425" spans="1:10" s="104" customFormat="1" ht="13.5" customHeight="1">
      <c r="A425" s="97">
        <v>145</v>
      </c>
      <c r="B425" s="98">
        <v>764</v>
      </c>
      <c r="C425" s="98" t="s">
        <v>413</v>
      </c>
      <c r="D425" s="98" t="s">
        <v>414</v>
      </c>
      <c r="E425" s="98" t="s">
        <v>139</v>
      </c>
      <c r="F425" s="99">
        <f>F426</f>
        <v>10</v>
      </c>
      <c r="G425" s="673"/>
      <c r="H425" s="100">
        <f>F425*G425</f>
        <v>0</v>
      </c>
      <c r="J425" s="101"/>
    </row>
    <row r="426" spans="1:10" s="104" customFormat="1" ht="13.5" customHeight="1">
      <c r="A426" s="111"/>
      <c r="B426" s="102"/>
      <c r="C426" s="102"/>
      <c r="D426" s="102" t="s">
        <v>415</v>
      </c>
      <c r="E426" s="102"/>
      <c r="F426" s="112">
        <v>10</v>
      </c>
      <c r="G426" s="677"/>
      <c r="H426" s="113"/>
      <c r="I426" s="114"/>
      <c r="J426" s="117"/>
    </row>
    <row r="427" spans="1:8" ht="15" customHeight="1">
      <c r="A427" s="93"/>
      <c r="B427" s="94"/>
      <c r="C427" s="94"/>
      <c r="D427" s="102" t="s">
        <v>339</v>
      </c>
      <c r="E427" s="94"/>
      <c r="F427" s="95"/>
      <c r="G427" s="678"/>
      <c r="H427" s="96"/>
    </row>
    <row r="428" spans="1:10" s="104" customFormat="1" ht="13.5" customHeight="1">
      <c r="A428" s="97">
        <v>146</v>
      </c>
      <c r="B428" s="98">
        <v>764</v>
      </c>
      <c r="C428" s="98" t="s">
        <v>416</v>
      </c>
      <c r="D428" s="98" t="s">
        <v>417</v>
      </c>
      <c r="E428" s="98" t="s">
        <v>139</v>
      </c>
      <c r="F428" s="99">
        <f>F429</f>
        <v>6</v>
      </c>
      <c r="G428" s="673"/>
      <c r="H428" s="100">
        <f>F428*G428</f>
        <v>0</v>
      </c>
      <c r="J428" s="101"/>
    </row>
    <row r="429" spans="1:10" s="104" customFormat="1" ht="13.5" customHeight="1">
      <c r="A429" s="111"/>
      <c r="B429" s="102"/>
      <c r="C429" s="102"/>
      <c r="D429" s="102" t="s">
        <v>418</v>
      </c>
      <c r="E429" s="102"/>
      <c r="F429" s="112">
        <v>6</v>
      </c>
      <c r="G429" s="677"/>
      <c r="H429" s="113"/>
      <c r="I429" s="114"/>
      <c r="J429" s="117"/>
    </row>
    <row r="430" spans="1:8" ht="15" customHeight="1">
      <c r="A430" s="93"/>
      <c r="B430" s="94"/>
      <c r="C430" s="94"/>
      <c r="D430" s="102" t="s">
        <v>339</v>
      </c>
      <c r="E430" s="94"/>
      <c r="F430" s="95"/>
      <c r="G430" s="678"/>
      <c r="H430" s="96"/>
    </row>
    <row r="431" spans="1:10" s="104" customFormat="1" ht="15.6" customHeight="1">
      <c r="A431" s="97">
        <v>147</v>
      </c>
      <c r="B431" s="98">
        <v>764</v>
      </c>
      <c r="C431" s="98" t="s">
        <v>419</v>
      </c>
      <c r="D431" s="98" t="s">
        <v>420</v>
      </c>
      <c r="E431" s="98" t="s">
        <v>139</v>
      </c>
      <c r="F431" s="99">
        <f>F432</f>
        <v>7</v>
      </c>
      <c r="G431" s="673"/>
      <c r="H431" s="100">
        <f>F431*G431</f>
        <v>0</v>
      </c>
      <c r="J431" s="101"/>
    </row>
    <row r="432" spans="1:10" s="104" customFormat="1" ht="13.5" customHeight="1">
      <c r="A432" s="111"/>
      <c r="B432" s="102"/>
      <c r="C432" s="102"/>
      <c r="D432" s="102" t="s">
        <v>418</v>
      </c>
      <c r="E432" s="102"/>
      <c r="F432" s="112">
        <v>7</v>
      </c>
      <c r="G432" s="677"/>
      <c r="H432" s="113"/>
      <c r="I432" s="114"/>
      <c r="J432" s="117"/>
    </row>
    <row r="433" spans="1:8" ht="15" customHeight="1">
      <c r="A433" s="93"/>
      <c r="B433" s="94"/>
      <c r="C433" s="94"/>
      <c r="D433" s="102" t="s">
        <v>339</v>
      </c>
      <c r="E433" s="94"/>
      <c r="F433" s="95"/>
      <c r="G433" s="678"/>
      <c r="H433" s="96"/>
    </row>
    <row r="434" spans="1:10" s="104" customFormat="1" ht="27" customHeight="1">
      <c r="A434" s="97">
        <v>148</v>
      </c>
      <c r="B434" s="98">
        <v>764</v>
      </c>
      <c r="C434" s="98" t="s">
        <v>421</v>
      </c>
      <c r="D434" s="98" t="s">
        <v>422</v>
      </c>
      <c r="E434" s="98" t="s">
        <v>139</v>
      </c>
      <c r="F434" s="99">
        <f>F435</f>
        <v>6</v>
      </c>
      <c r="G434" s="673"/>
      <c r="H434" s="100">
        <f>F434*G434</f>
        <v>0</v>
      </c>
      <c r="J434" s="101"/>
    </row>
    <row r="435" spans="1:10" s="104" customFormat="1" ht="13.5" customHeight="1">
      <c r="A435" s="111"/>
      <c r="B435" s="102"/>
      <c r="C435" s="102"/>
      <c r="D435" s="102" t="s">
        <v>418</v>
      </c>
      <c r="E435" s="102"/>
      <c r="F435" s="112">
        <v>6</v>
      </c>
      <c r="G435" s="677"/>
      <c r="H435" s="113"/>
      <c r="I435" s="114"/>
      <c r="J435" s="117"/>
    </row>
    <row r="436" spans="1:8" ht="15" customHeight="1">
      <c r="A436" s="93"/>
      <c r="B436" s="94"/>
      <c r="C436" s="94"/>
      <c r="D436" s="102" t="s">
        <v>339</v>
      </c>
      <c r="E436" s="94"/>
      <c r="F436" s="95"/>
      <c r="G436" s="678"/>
      <c r="H436" s="96"/>
    </row>
    <row r="437" spans="1:10" s="104" customFormat="1" ht="27" customHeight="1">
      <c r="A437" s="97">
        <v>149</v>
      </c>
      <c r="B437" s="98">
        <v>764</v>
      </c>
      <c r="C437" s="98" t="s">
        <v>423</v>
      </c>
      <c r="D437" s="98" t="s">
        <v>424</v>
      </c>
      <c r="E437" s="98" t="s">
        <v>25</v>
      </c>
      <c r="F437" s="99">
        <f>F438</f>
        <v>36</v>
      </c>
      <c r="G437" s="673"/>
      <c r="H437" s="100">
        <f>F437*G437</f>
        <v>0</v>
      </c>
      <c r="J437" s="101"/>
    </row>
    <row r="438" spans="1:10" s="104" customFormat="1" ht="13.5" customHeight="1">
      <c r="A438" s="111"/>
      <c r="B438" s="102"/>
      <c r="C438" s="102"/>
      <c r="D438" s="102" t="s">
        <v>385</v>
      </c>
      <c r="E438" s="102"/>
      <c r="F438" s="112">
        <v>36</v>
      </c>
      <c r="G438" s="677"/>
      <c r="H438" s="113"/>
      <c r="I438" s="114"/>
      <c r="J438" s="117"/>
    </row>
    <row r="439" spans="1:8" ht="15" customHeight="1">
      <c r="A439" s="93"/>
      <c r="B439" s="94"/>
      <c r="C439" s="94"/>
      <c r="D439" s="102" t="s">
        <v>339</v>
      </c>
      <c r="E439" s="94"/>
      <c r="F439" s="95"/>
      <c r="G439" s="678"/>
      <c r="H439" s="96"/>
    </row>
    <row r="440" spans="1:10" s="104" customFormat="1" ht="13.5" customHeight="1">
      <c r="A440" s="97">
        <v>180</v>
      </c>
      <c r="B440" s="98">
        <v>764</v>
      </c>
      <c r="C440" s="98" t="s">
        <v>425</v>
      </c>
      <c r="D440" s="98" t="s">
        <v>426</v>
      </c>
      <c r="E440" s="98" t="s">
        <v>139</v>
      </c>
      <c r="F440" s="99">
        <f>F441</f>
        <v>18</v>
      </c>
      <c r="G440" s="673"/>
      <c r="H440" s="100">
        <f>F440*G440</f>
        <v>0</v>
      </c>
      <c r="J440" s="101"/>
    </row>
    <row r="441" spans="1:10" s="104" customFormat="1" ht="13.5" customHeight="1">
      <c r="A441" s="111"/>
      <c r="B441" s="102"/>
      <c r="C441" s="102"/>
      <c r="D441" s="102" t="s">
        <v>385</v>
      </c>
      <c r="E441" s="102"/>
      <c r="F441" s="112">
        <v>18</v>
      </c>
      <c r="G441" s="677"/>
      <c r="H441" s="113"/>
      <c r="I441" s="114"/>
      <c r="J441" s="117"/>
    </row>
    <row r="442" spans="1:8" ht="15" customHeight="1">
      <c r="A442" s="93"/>
      <c r="B442" s="94"/>
      <c r="C442" s="94"/>
      <c r="D442" s="102" t="s">
        <v>339</v>
      </c>
      <c r="E442" s="94"/>
      <c r="F442" s="95"/>
      <c r="G442" s="678"/>
      <c r="H442" s="96"/>
    </row>
    <row r="443" spans="1:10" s="104" customFormat="1" ht="13.5" customHeight="1">
      <c r="A443" s="97">
        <v>181</v>
      </c>
      <c r="B443" s="98">
        <v>764</v>
      </c>
      <c r="C443" s="98" t="s">
        <v>427</v>
      </c>
      <c r="D443" s="98" t="s">
        <v>428</v>
      </c>
      <c r="E443" s="98" t="s">
        <v>139</v>
      </c>
      <c r="F443" s="99">
        <f>F444</f>
        <v>32</v>
      </c>
      <c r="G443" s="673"/>
      <c r="H443" s="100">
        <f>F443*G443</f>
        <v>0</v>
      </c>
      <c r="J443" s="101"/>
    </row>
    <row r="444" spans="1:10" s="104" customFormat="1" ht="13.5" customHeight="1">
      <c r="A444" s="111"/>
      <c r="B444" s="102"/>
      <c r="C444" s="102"/>
      <c r="D444" s="102" t="s">
        <v>385</v>
      </c>
      <c r="E444" s="102"/>
      <c r="F444" s="112">
        <v>32</v>
      </c>
      <c r="G444" s="677"/>
      <c r="H444" s="113"/>
      <c r="I444" s="114"/>
      <c r="J444" s="117"/>
    </row>
    <row r="445" spans="1:8" ht="15" customHeight="1">
      <c r="A445" s="93"/>
      <c r="B445" s="94"/>
      <c r="C445" s="94"/>
      <c r="D445" s="102" t="s">
        <v>339</v>
      </c>
      <c r="E445" s="94"/>
      <c r="F445" s="95"/>
      <c r="G445" s="678"/>
      <c r="H445" s="96"/>
    </row>
    <row r="446" spans="1:10" s="104" customFormat="1" ht="13.5" customHeight="1">
      <c r="A446" s="97">
        <v>182</v>
      </c>
      <c r="B446" s="98">
        <v>764</v>
      </c>
      <c r="C446" s="98" t="s">
        <v>429</v>
      </c>
      <c r="D446" s="98" t="s">
        <v>430</v>
      </c>
      <c r="E446" s="98" t="s">
        <v>139</v>
      </c>
      <c r="F446" s="99">
        <f>F447</f>
        <v>18</v>
      </c>
      <c r="G446" s="673"/>
      <c r="H446" s="100">
        <f>F446*G446</f>
        <v>0</v>
      </c>
      <c r="J446" s="101"/>
    </row>
    <row r="447" spans="1:10" s="104" customFormat="1" ht="13.5" customHeight="1">
      <c r="A447" s="111"/>
      <c r="B447" s="102"/>
      <c r="C447" s="102"/>
      <c r="D447" s="102" t="s">
        <v>385</v>
      </c>
      <c r="E447" s="102"/>
      <c r="F447" s="112">
        <v>18</v>
      </c>
      <c r="G447" s="677"/>
      <c r="H447" s="113"/>
      <c r="I447" s="114"/>
      <c r="J447" s="117"/>
    </row>
    <row r="448" spans="1:8" ht="15" customHeight="1">
      <c r="A448" s="93"/>
      <c r="B448" s="94"/>
      <c r="C448" s="94"/>
      <c r="D448" s="102" t="s">
        <v>339</v>
      </c>
      <c r="E448" s="94"/>
      <c r="F448" s="95"/>
      <c r="G448" s="678"/>
      <c r="H448" s="96"/>
    </row>
    <row r="449" spans="1:10" s="104" customFormat="1" ht="13.5" customHeight="1">
      <c r="A449" s="97">
        <v>183</v>
      </c>
      <c r="B449" s="98">
        <v>764</v>
      </c>
      <c r="C449" s="98" t="s">
        <v>431</v>
      </c>
      <c r="D449" s="98" t="s">
        <v>432</v>
      </c>
      <c r="E449" s="98" t="s">
        <v>139</v>
      </c>
      <c r="F449" s="99">
        <f>F450</f>
        <v>164.7</v>
      </c>
      <c r="G449" s="673"/>
      <c r="H449" s="100">
        <f>F449*G449</f>
        <v>0</v>
      </c>
      <c r="J449" s="101"/>
    </row>
    <row r="450" spans="1:10" s="104" customFormat="1" ht="13.5" customHeight="1">
      <c r="A450" s="111"/>
      <c r="B450" s="102"/>
      <c r="C450" s="102"/>
      <c r="D450" s="102" t="s">
        <v>385</v>
      </c>
      <c r="E450" s="102"/>
      <c r="F450" s="112">
        <f>234.7-70</f>
        <v>164.7</v>
      </c>
      <c r="G450" s="677"/>
      <c r="H450" s="113"/>
      <c r="I450" s="114"/>
      <c r="J450" s="117"/>
    </row>
    <row r="451" spans="1:8" ht="15" customHeight="1">
      <c r="A451" s="93"/>
      <c r="B451" s="94"/>
      <c r="C451" s="94"/>
      <c r="D451" s="102" t="s">
        <v>339</v>
      </c>
      <c r="E451" s="94"/>
      <c r="F451" s="95"/>
      <c r="G451" s="678"/>
      <c r="H451" s="96"/>
    </row>
    <row r="452" spans="1:10" s="104" customFormat="1" ht="13.5" customHeight="1">
      <c r="A452" s="97">
        <v>184</v>
      </c>
      <c r="B452" s="98">
        <v>764</v>
      </c>
      <c r="C452" s="98" t="s">
        <v>433</v>
      </c>
      <c r="D452" s="98" t="s">
        <v>434</v>
      </c>
      <c r="E452" s="98" t="s">
        <v>139</v>
      </c>
      <c r="F452" s="99">
        <f>F453</f>
        <v>40</v>
      </c>
      <c r="G452" s="673"/>
      <c r="H452" s="100">
        <f>F452*G452</f>
        <v>0</v>
      </c>
      <c r="J452" s="101"/>
    </row>
    <row r="453" spans="1:10" s="104" customFormat="1" ht="13.5" customHeight="1">
      <c r="A453" s="111"/>
      <c r="B453" s="102"/>
      <c r="C453" s="102"/>
      <c r="D453" s="102" t="s">
        <v>385</v>
      </c>
      <c r="E453" s="102"/>
      <c r="F453" s="112">
        <v>40</v>
      </c>
      <c r="G453" s="677"/>
      <c r="H453" s="113"/>
      <c r="I453" s="114"/>
      <c r="J453" s="117"/>
    </row>
    <row r="454" spans="1:8" ht="15" customHeight="1">
      <c r="A454" s="93"/>
      <c r="B454" s="94"/>
      <c r="C454" s="94"/>
      <c r="D454" s="102" t="s">
        <v>339</v>
      </c>
      <c r="E454" s="94"/>
      <c r="F454" s="95"/>
      <c r="G454" s="678"/>
      <c r="H454" s="96"/>
    </row>
    <row r="455" spans="1:10" s="104" customFormat="1" ht="13.5" customHeight="1">
      <c r="A455" s="97">
        <v>185</v>
      </c>
      <c r="B455" s="98">
        <v>764</v>
      </c>
      <c r="C455" s="98" t="s">
        <v>435</v>
      </c>
      <c r="D455" s="98" t="s">
        <v>436</v>
      </c>
      <c r="E455" s="98" t="s">
        <v>139</v>
      </c>
      <c r="F455" s="99">
        <f>F456</f>
        <v>32</v>
      </c>
      <c r="G455" s="673"/>
      <c r="H455" s="100">
        <f>F455*G455</f>
        <v>0</v>
      </c>
      <c r="J455" s="101"/>
    </row>
    <row r="456" spans="1:10" s="104" customFormat="1" ht="13.5" customHeight="1">
      <c r="A456" s="111"/>
      <c r="B456" s="102"/>
      <c r="C456" s="102"/>
      <c r="D456" s="102" t="s">
        <v>385</v>
      </c>
      <c r="E456" s="102"/>
      <c r="F456" s="112">
        <v>32</v>
      </c>
      <c r="G456" s="677"/>
      <c r="H456" s="113"/>
      <c r="I456" s="114"/>
      <c r="J456" s="117"/>
    </row>
    <row r="457" spans="1:8" ht="15" customHeight="1">
      <c r="A457" s="93"/>
      <c r="B457" s="94"/>
      <c r="C457" s="94"/>
      <c r="D457" s="102" t="s">
        <v>339</v>
      </c>
      <c r="E457" s="94"/>
      <c r="F457" s="95"/>
      <c r="G457" s="678"/>
      <c r="H457" s="96"/>
    </row>
    <row r="458" spans="1:10" s="104" customFormat="1" ht="13.5" customHeight="1">
      <c r="A458" s="97">
        <v>186</v>
      </c>
      <c r="B458" s="98">
        <v>764</v>
      </c>
      <c r="C458" s="98" t="s">
        <v>437</v>
      </c>
      <c r="D458" s="98" t="s">
        <v>438</v>
      </c>
      <c r="E458" s="98" t="s">
        <v>139</v>
      </c>
      <c r="F458" s="99">
        <f>F459</f>
        <v>36</v>
      </c>
      <c r="G458" s="673"/>
      <c r="H458" s="100">
        <f>F458*G458</f>
        <v>0</v>
      </c>
      <c r="J458" s="101"/>
    </row>
    <row r="459" spans="1:10" s="104" customFormat="1" ht="13.5" customHeight="1">
      <c r="A459" s="111"/>
      <c r="B459" s="102"/>
      <c r="C459" s="102"/>
      <c r="D459" s="102" t="s">
        <v>385</v>
      </c>
      <c r="E459" s="102"/>
      <c r="F459" s="112">
        <v>36</v>
      </c>
      <c r="G459" s="677"/>
      <c r="H459" s="113"/>
      <c r="I459" s="114"/>
      <c r="J459" s="117"/>
    </row>
    <row r="460" spans="1:8" ht="15" customHeight="1">
      <c r="A460" s="93"/>
      <c r="B460" s="94"/>
      <c r="C460" s="94"/>
      <c r="D460" s="102" t="s">
        <v>339</v>
      </c>
      <c r="E460" s="94"/>
      <c r="F460" s="95"/>
      <c r="G460" s="678"/>
      <c r="H460" s="96"/>
    </row>
    <row r="461" spans="1:10" s="104" customFormat="1" ht="27" customHeight="1">
      <c r="A461" s="97">
        <v>187</v>
      </c>
      <c r="B461" s="98">
        <v>764</v>
      </c>
      <c r="C461" s="98" t="s">
        <v>439</v>
      </c>
      <c r="D461" s="98" t="s">
        <v>440</v>
      </c>
      <c r="E461" s="98" t="s">
        <v>139</v>
      </c>
      <c r="F461" s="99">
        <f>F462</f>
        <v>3.5</v>
      </c>
      <c r="G461" s="673"/>
      <c r="H461" s="100">
        <f>F461*G461</f>
        <v>0</v>
      </c>
      <c r="J461" s="101"/>
    </row>
    <row r="462" spans="1:10" s="104" customFormat="1" ht="13.5" customHeight="1">
      <c r="A462" s="111"/>
      <c r="B462" s="102"/>
      <c r="C462" s="102"/>
      <c r="D462" s="102" t="s">
        <v>385</v>
      </c>
      <c r="E462" s="102"/>
      <c r="F462" s="112">
        <v>3.5</v>
      </c>
      <c r="G462" s="677"/>
      <c r="H462" s="113"/>
      <c r="I462" s="114"/>
      <c r="J462" s="117"/>
    </row>
    <row r="463" spans="1:8" ht="15" customHeight="1">
      <c r="A463" s="93"/>
      <c r="B463" s="94"/>
      <c r="C463" s="94"/>
      <c r="D463" s="102" t="s">
        <v>339</v>
      </c>
      <c r="E463" s="94"/>
      <c r="F463" s="95"/>
      <c r="G463" s="678"/>
      <c r="H463" s="96"/>
    </row>
    <row r="464" spans="1:10" s="104" customFormat="1" ht="13.5" customHeight="1">
      <c r="A464" s="97">
        <v>188</v>
      </c>
      <c r="B464" s="98">
        <v>764</v>
      </c>
      <c r="C464" s="98" t="s">
        <v>441</v>
      </c>
      <c r="D464" s="98" t="s">
        <v>442</v>
      </c>
      <c r="E464" s="98" t="s">
        <v>139</v>
      </c>
      <c r="F464" s="99">
        <f>F465</f>
        <v>6</v>
      </c>
      <c r="G464" s="673"/>
      <c r="H464" s="100">
        <f>F464*G464</f>
        <v>0</v>
      </c>
      <c r="J464" s="101"/>
    </row>
    <row r="465" spans="1:10" s="104" customFormat="1" ht="13.5" customHeight="1">
      <c r="A465" s="111"/>
      <c r="B465" s="102"/>
      <c r="C465" s="102"/>
      <c r="D465" s="102" t="s">
        <v>342</v>
      </c>
      <c r="E465" s="102"/>
      <c r="F465" s="112">
        <v>6</v>
      </c>
      <c r="G465" s="677"/>
      <c r="H465" s="113"/>
      <c r="I465" s="114"/>
      <c r="J465" s="117"/>
    </row>
    <row r="466" spans="1:8" ht="15" customHeight="1">
      <c r="A466" s="93"/>
      <c r="B466" s="94"/>
      <c r="C466" s="94"/>
      <c r="D466" s="102" t="s">
        <v>339</v>
      </c>
      <c r="E466" s="94"/>
      <c r="F466" s="95"/>
      <c r="G466" s="678"/>
      <c r="H466" s="96"/>
    </row>
    <row r="467" spans="1:10" s="104" customFormat="1" ht="13.5" customHeight="1">
      <c r="A467" s="97">
        <v>189</v>
      </c>
      <c r="B467" s="98">
        <v>764</v>
      </c>
      <c r="C467" s="98" t="s">
        <v>443</v>
      </c>
      <c r="D467" s="98" t="s">
        <v>444</v>
      </c>
      <c r="E467" s="98" t="s">
        <v>139</v>
      </c>
      <c r="F467" s="99">
        <f>F468</f>
        <v>7</v>
      </c>
      <c r="G467" s="673"/>
      <c r="H467" s="100">
        <f>F467*G467</f>
        <v>0</v>
      </c>
      <c r="J467" s="101"/>
    </row>
    <row r="468" spans="1:10" s="104" customFormat="1" ht="13.5" customHeight="1">
      <c r="A468" s="111"/>
      <c r="B468" s="102"/>
      <c r="C468" s="102"/>
      <c r="D468" s="102" t="s">
        <v>342</v>
      </c>
      <c r="E468" s="102"/>
      <c r="F468" s="112">
        <v>7</v>
      </c>
      <c r="G468" s="677"/>
      <c r="H468" s="113"/>
      <c r="I468" s="114"/>
      <c r="J468" s="117"/>
    </row>
    <row r="469" spans="1:8" ht="15" customHeight="1">
      <c r="A469" s="93"/>
      <c r="B469" s="94"/>
      <c r="C469" s="94"/>
      <c r="D469" s="102" t="s">
        <v>339</v>
      </c>
      <c r="E469" s="94"/>
      <c r="F469" s="95"/>
      <c r="G469" s="678"/>
      <c r="H469" s="96"/>
    </row>
    <row r="470" spans="1:10" s="104" customFormat="1" ht="27" customHeight="1">
      <c r="A470" s="97">
        <v>190</v>
      </c>
      <c r="B470" s="98">
        <v>764</v>
      </c>
      <c r="C470" s="98" t="s">
        <v>445</v>
      </c>
      <c r="D470" s="98" t="s">
        <v>446</v>
      </c>
      <c r="E470" s="98" t="s">
        <v>139</v>
      </c>
      <c r="F470" s="99">
        <f>F471</f>
        <v>7</v>
      </c>
      <c r="G470" s="673"/>
      <c r="H470" s="100">
        <f>F470*G470</f>
        <v>0</v>
      </c>
      <c r="J470" s="101"/>
    </row>
    <row r="471" spans="1:10" s="104" customFormat="1" ht="13.5" customHeight="1">
      <c r="A471" s="111"/>
      <c r="B471" s="102"/>
      <c r="C471" s="102"/>
      <c r="D471" s="102" t="s">
        <v>342</v>
      </c>
      <c r="E471" s="102"/>
      <c r="F471" s="112">
        <v>7</v>
      </c>
      <c r="G471" s="677"/>
      <c r="H471" s="113"/>
      <c r="I471" s="114"/>
      <c r="J471" s="117"/>
    </row>
    <row r="472" spans="1:8" ht="15" customHeight="1">
      <c r="A472" s="93"/>
      <c r="B472" s="94"/>
      <c r="C472" s="94"/>
      <c r="D472" s="102" t="s">
        <v>339</v>
      </c>
      <c r="E472" s="94"/>
      <c r="F472" s="95"/>
      <c r="G472" s="678"/>
      <c r="H472" s="96"/>
    </row>
    <row r="473" spans="1:10" s="104" customFormat="1" ht="13.5" customHeight="1">
      <c r="A473" s="97">
        <v>191</v>
      </c>
      <c r="B473" s="98">
        <v>998</v>
      </c>
      <c r="C473" s="98">
        <v>998764202</v>
      </c>
      <c r="D473" s="98" t="s">
        <v>447</v>
      </c>
      <c r="E473" s="98" t="s">
        <v>10</v>
      </c>
      <c r="F473" s="99">
        <v>1.56</v>
      </c>
      <c r="G473" s="673"/>
      <c r="H473" s="100">
        <f>F473*G473</f>
        <v>0</v>
      </c>
      <c r="J473" s="101"/>
    </row>
    <row r="474" spans="1:10" s="104" customFormat="1" ht="13.5" customHeight="1">
      <c r="A474" s="97">
        <v>192</v>
      </c>
      <c r="B474" s="98">
        <v>764</v>
      </c>
      <c r="C474" s="98" t="s">
        <v>448</v>
      </c>
      <c r="D474" s="98" t="s">
        <v>449</v>
      </c>
      <c r="E474" s="98" t="s">
        <v>25</v>
      </c>
      <c r="F474" s="99">
        <v>1</v>
      </c>
      <c r="G474" s="673"/>
      <c r="H474" s="100">
        <f>F474*G474</f>
        <v>0</v>
      </c>
      <c r="J474" s="101"/>
    </row>
    <row r="475" spans="1:10" s="104" customFormat="1" ht="15.6" customHeight="1">
      <c r="A475" s="111"/>
      <c r="B475" s="102"/>
      <c r="C475" s="102"/>
      <c r="D475" s="102" t="s">
        <v>213</v>
      </c>
      <c r="E475" s="102"/>
      <c r="F475" s="112">
        <v>1</v>
      </c>
      <c r="G475" s="677"/>
      <c r="H475" s="113"/>
      <c r="I475" s="114"/>
      <c r="J475" s="117"/>
    </row>
    <row r="476" spans="1:8" ht="15" customHeight="1">
      <c r="A476" s="93"/>
      <c r="B476" s="94"/>
      <c r="C476" s="94">
        <v>765</v>
      </c>
      <c r="D476" s="94" t="s">
        <v>450</v>
      </c>
      <c r="E476" s="94"/>
      <c r="F476" s="95"/>
      <c r="G476" s="678"/>
      <c r="H476" s="96">
        <f>SUM(H477:H494)</f>
        <v>0</v>
      </c>
    </row>
    <row r="477" spans="1:10" s="104" customFormat="1" ht="13.5" customHeight="1">
      <c r="A477" s="97">
        <v>193</v>
      </c>
      <c r="B477" s="98">
        <v>765</v>
      </c>
      <c r="C477" s="98">
        <v>765192811</v>
      </c>
      <c r="D477" s="98" t="s">
        <v>451</v>
      </c>
      <c r="E477" s="98" t="s">
        <v>25</v>
      </c>
      <c r="F477" s="99">
        <f>F478</f>
        <v>6</v>
      </c>
      <c r="G477" s="673"/>
      <c r="H477" s="100">
        <f>F477*G477</f>
        <v>0</v>
      </c>
      <c r="J477" s="101"/>
    </row>
    <row r="478" spans="1:10" s="104" customFormat="1" ht="13.5" customHeight="1">
      <c r="A478" s="97"/>
      <c r="B478" s="98"/>
      <c r="C478" s="98"/>
      <c r="D478" s="102" t="s">
        <v>452</v>
      </c>
      <c r="E478" s="98"/>
      <c r="F478" s="103">
        <v>6</v>
      </c>
      <c r="G478" s="673"/>
      <c r="H478" s="100"/>
      <c r="J478" s="101"/>
    </row>
    <row r="479" spans="1:10" s="104" customFormat="1" ht="13.5" customHeight="1">
      <c r="A479" s="97">
        <v>194</v>
      </c>
      <c r="B479" s="98">
        <v>765</v>
      </c>
      <c r="C479" s="98">
        <v>765111821</v>
      </c>
      <c r="D479" s="98" t="s">
        <v>453</v>
      </c>
      <c r="E479" s="98" t="s">
        <v>48</v>
      </c>
      <c r="F479" s="99">
        <f>F480</f>
        <v>1080</v>
      </c>
      <c r="G479" s="673"/>
      <c r="H479" s="100">
        <f>F479*G479</f>
        <v>0</v>
      </c>
      <c r="J479" s="101"/>
    </row>
    <row r="480" spans="1:10" s="104" customFormat="1" ht="15" customHeight="1">
      <c r="A480" s="97"/>
      <c r="B480" s="98"/>
      <c r="C480" s="98"/>
      <c r="D480" s="102" t="s">
        <v>1471</v>
      </c>
      <c r="E480" s="98"/>
      <c r="F480" s="103">
        <f>1505-425</f>
        <v>1080</v>
      </c>
      <c r="G480" s="673"/>
      <c r="H480" s="100"/>
      <c r="J480" s="101"/>
    </row>
    <row r="481" spans="1:10" s="114" customFormat="1" ht="13.5" customHeight="1">
      <c r="A481" s="97">
        <v>195</v>
      </c>
      <c r="B481" s="98">
        <v>765</v>
      </c>
      <c r="C481" s="98" t="s">
        <v>454</v>
      </c>
      <c r="D481" s="98" t="s">
        <v>455</v>
      </c>
      <c r="E481" s="98" t="s">
        <v>48</v>
      </c>
      <c r="F481" s="99">
        <f>F490</f>
        <v>1230.5</v>
      </c>
      <c r="G481" s="673"/>
      <c r="H481" s="100">
        <f>F481*G481</f>
        <v>0</v>
      </c>
      <c r="J481" s="123"/>
    </row>
    <row r="482" spans="1:10" s="114" customFormat="1" ht="13.5" customHeight="1">
      <c r="A482" s="111"/>
      <c r="B482" s="102"/>
      <c r="C482" s="102"/>
      <c r="D482" s="102" t="s">
        <v>219</v>
      </c>
      <c r="E482" s="102"/>
      <c r="F482" s="112"/>
      <c r="G482" s="677"/>
      <c r="H482" s="113"/>
      <c r="J482" s="117"/>
    </row>
    <row r="483" spans="1:10" s="114" customFormat="1" ht="28.35" customHeight="1">
      <c r="A483" s="111"/>
      <c r="B483" s="102"/>
      <c r="C483" s="102"/>
      <c r="D483" s="102" t="s">
        <v>456</v>
      </c>
      <c r="E483" s="102"/>
      <c r="F483" s="112"/>
      <c r="G483" s="677"/>
      <c r="H483" s="113"/>
      <c r="J483" s="117"/>
    </row>
    <row r="484" spans="1:10" s="114" customFormat="1" ht="13.5" customHeight="1">
      <c r="A484" s="111"/>
      <c r="B484" s="102"/>
      <c r="C484" s="102"/>
      <c r="D484" s="102" t="s">
        <v>457</v>
      </c>
      <c r="E484" s="102"/>
      <c r="F484" s="112"/>
      <c r="G484" s="677"/>
      <c r="H484" s="113"/>
      <c r="J484" s="117"/>
    </row>
    <row r="485" spans="1:10" s="114" customFormat="1" ht="13.5" customHeight="1">
      <c r="A485" s="111"/>
      <c r="B485" s="102"/>
      <c r="C485" s="102"/>
      <c r="D485" s="102" t="s">
        <v>227</v>
      </c>
      <c r="E485" s="102"/>
      <c r="F485" s="112"/>
      <c r="G485" s="677"/>
      <c r="H485" s="113"/>
      <c r="J485" s="117"/>
    </row>
    <row r="486" spans="1:10" s="114" customFormat="1" ht="27" customHeight="1">
      <c r="A486" s="111"/>
      <c r="B486" s="102"/>
      <c r="C486" s="102"/>
      <c r="D486" s="102" t="s">
        <v>228</v>
      </c>
      <c r="E486" s="102"/>
      <c r="F486" s="112"/>
      <c r="G486" s="677"/>
      <c r="H486" s="113"/>
      <c r="J486" s="117"/>
    </row>
    <row r="487" spans="1:10" s="114" customFormat="1" ht="13.5" customHeight="1">
      <c r="A487" s="111"/>
      <c r="B487" s="102"/>
      <c r="C487" s="102"/>
      <c r="D487" s="102" t="s">
        <v>222</v>
      </c>
      <c r="E487" s="102"/>
      <c r="F487" s="112"/>
      <c r="G487" s="677"/>
      <c r="H487" s="113"/>
      <c r="J487" s="117"/>
    </row>
    <row r="488" spans="1:10" s="114" customFormat="1" ht="27" customHeight="1">
      <c r="A488" s="111"/>
      <c r="B488" s="102"/>
      <c r="C488" s="102"/>
      <c r="D488" s="102" t="s">
        <v>229</v>
      </c>
      <c r="E488" s="102"/>
      <c r="F488" s="112"/>
      <c r="G488" s="677"/>
      <c r="H488" s="113"/>
      <c r="J488" s="117"/>
    </row>
    <row r="489" spans="1:10" s="114" customFormat="1" ht="13.5" customHeight="1">
      <c r="A489" s="111"/>
      <c r="B489" s="102"/>
      <c r="C489" s="102"/>
      <c r="D489" s="102" t="s">
        <v>226</v>
      </c>
      <c r="E489" s="102"/>
      <c r="F489" s="112"/>
      <c r="G489" s="677"/>
      <c r="H489" s="113"/>
      <c r="J489" s="117"/>
    </row>
    <row r="490" spans="1:10" s="114" customFormat="1" ht="14.4" customHeight="1">
      <c r="A490" s="111"/>
      <c r="B490" s="102"/>
      <c r="C490" s="102"/>
      <c r="D490" s="102" t="s">
        <v>1472</v>
      </c>
      <c r="E490" s="102"/>
      <c r="F490" s="112">
        <f>1655.5-425</f>
        <v>1230.5</v>
      </c>
      <c r="G490" s="677"/>
      <c r="H490" s="113"/>
      <c r="J490" s="117"/>
    </row>
    <row r="491" spans="1:10" s="114" customFormat="1" ht="27" customHeight="1">
      <c r="A491" s="111"/>
      <c r="B491" s="102"/>
      <c r="C491" s="102"/>
      <c r="D491" s="449" t="s">
        <v>1450</v>
      </c>
      <c r="E491" s="102"/>
      <c r="F491" s="112"/>
      <c r="G491" s="677"/>
      <c r="H491" s="113"/>
      <c r="J491" s="117"/>
    </row>
    <row r="492" spans="1:10" s="104" customFormat="1" ht="13.5" customHeight="1">
      <c r="A492" s="97">
        <v>196</v>
      </c>
      <c r="B492" s="98">
        <v>998</v>
      </c>
      <c r="C492" s="98">
        <v>998765202</v>
      </c>
      <c r="D492" s="98" t="s">
        <v>458</v>
      </c>
      <c r="E492" s="98" t="s">
        <v>10</v>
      </c>
      <c r="F492" s="99">
        <v>5.33</v>
      </c>
      <c r="G492" s="673"/>
      <c r="H492" s="100">
        <f>F492*G492</f>
        <v>0</v>
      </c>
      <c r="J492" s="101"/>
    </row>
    <row r="493" spans="1:10" s="104" customFormat="1" ht="13.5" customHeight="1">
      <c r="A493" s="97">
        <v>197</v>
      </c>
      <c r="B493" s="98">
        <v>765</v>
      </c>
      <c r="C493" s="98" t="s">
        <v>459</v>
      </c>
      <c r="D493" s="98" t="s">
        <v>460</v>
      </c>
      <c r="E493" s="98" t="s">
        <v>25</v>
      </c>
      <c r="F493" s="99">
        <v>1</v>
      </c>
      <c r="G493" s="673"/>
      <c r="H493" s="100">
        <f>F493*G493</f>
        <v>0</v>
      </c>
      <c r="J493" s="101"/>
    </row>
    <row r="494" spans="1:10" s="104" customFormat="1" ht="16.8" customHeight="1">
      <c r="A494" s="111"/>
      <c r="B494" s="102"/>
      <c r="C494" s="102"/>
      <c r="D494" s="102" t="s">
        <v>213</v>
      </c>
      <c r="E494" s="102"/>
      <c r="F494" s="112">
        <v>1</v>
      </c>
      <c r="G494" s="677"/>
      <c r="H494" s="113"/>
      <c r="I494" s="114"/>
      <c r="J494" s="117"/>
    </row>
    <row r="495" spans="1:8" ht="15" customHeight="1">
      <c r="A495" s="93"/>
      <c r="B495" s="94"/>
      <c r="C495" s="94">
        <v>766</v>
      </c>
      <c r="D495" s="94" t="s">
        <v>461</v>
      </c>
      <c r="E495" s="94"/>
      <c r="F495" s="95"/>
      <c r="G495" s="678"/>
      <c r="H495" s="96">
        <f>SUM(H496:H626)</f>
        <v>0</v>
      </c>
    </row>
    <row r="496" spans="1:10" s="104" customFormat="1" ht="13.5" customHeight="1">
      <c r="A496" s="97">
        <v>198</v>
      </c>
      <c r="B496" s="98">
        <v>766</v>
      </c>
      <c r="C496" s="98" t="s">
        <v>464</v>
      </c>
      <c r="D496" s="98" t="s">
        <v>465</v>
      </c>
      <c r="E496" s="98" t="s">
        <v>48</v>
      </c>
      <c r="F496" s="99">
        <f>F498</f>
        <v>46.5</v>
      </c>
      <c r="G496" s="673"/>
      <c r="H496" s="100">
        <f>F496*G496</f>
        <v>0</v>
      </c>
      <c r="J496" s="101"/>
    </row>
    <row r="497" spans="1:10" s="104" customFormat="1" ht="27" customHeight="1">
      <c r="A497" s="111"/>
      <c r="B497" s="102"/>
      <c r="C497" s="102"/>
      <c r="D497" s="102" t="s">
        <v>466</v>
      </c>
      <c r="E497" s="102"/>
      <c r="F497" s="112"/>
      <c r="G497" s="677"/>
      <c r="H497" s="113"/>
      <c r="I497" s="114"/>
      <c r="J497" s="117"/>
    </row>
    <row r="498" spans="1:10" s="104" customFormat="1" ht="27" customHeight="1">
      <c r="A498" s="111"/>
      <c r="B498" s="102"/>
      <c r="C498" s="102"/>
      <c r="D498" s="102" t="s">
        <v>467</v>
      </c>
      <c r="E498" s="102"/>
      <c r="F498" s="112">
        <f>66.5-20</f>
        <v>46.5</v>
      </c>
      <c r="G498" s="677"/>
      <c r="H498" s="113"/>
      <c r="I498" s="114"/>
      <c r="J498" s="117"/>
    </row>
    <row r="499" spans="1:10" s="104" customFormat="1" ht="13.5" customHeight="1">
      <c r="A499" s="97">
        <v>199</v>
      </c>
      <c r="B499" s="98">
        <v>766</v>
      </c>
      <c r="C499" s="98">
        <v>766622832</v>
      </c>
      <c r="D499" s="98" t="s">
        <v>468</v>
      </c>
      <c r="E499" s="98" t="s">
        <v>48</v>
      </c>
      <c r="F499" s="99">
        <f>F501</f>
        <v>411.4</v>
      </c>
      <c r="G499" s="673"/>
      <c r="H499" s="100">
        <f>F499*G499</f>
        <v>0</v>
      </c>
      <c r="J499" s="101"/>
    </row>
    <row r="500" spans="1:10" s="104" customFormat="1" ht="27" customHeight="1">
      <c r="A500" s="111"/>
      <c r="B500" s="102"/>
      <c r="C500" s="102"/>
      <c r="D500" s="102" t="s">
        <v>469</v>
      </c>
      <c r="E500" s="102"/>
      <c r="F500" s="112"/>
      <c r="G500" s="677"/>
      <c r="H500" s="113"/>
      <c r="I500" s="114"/>
      <c r="J500" s="117"/>
    </row>
    <row r="501" spans="1:10" s="104" customFormat="1" ht="27" customHeight="1">
      <c r="A501" s="111"/>
      <c r="B501" s="102"/>
      <c r="C501" s="102"/>
      <c r="D501" s="102" t="s">
        <v>470</v>
      </c>
      <c r="E501" s="102"/>
      <c r="F501" s="112">
        <f>531.4-120</f>
        <v>411.4</v>
      </c>
      <c r="G501" s="677"/>
      <c r="H501" s="113"/>
      <c r="I501" s="114"/>
      <c r="J501" s="117"/>
    </row>
    <row r="502" spans="1:10" s="104" customFormat="1" ht="13.5" customHeight="1">
      <c r="A502" s="97">
        <v>200</v>
      </c>
      <c r="B502" s="98">
        <v>766</v>
      </c>
      <c r="C502" s="98">
        <v>766622862</v>
      </c>
      <c r="D502" s="98" t="s">
        <v>471</v>
      </c>
      <c r="E502" s="98" t="s">
        <v>25</v>
      </c>
      <c r="F502" s="99">
        <f>F503</f>
        <v>149</v>
      </c>
      <c r="G502" s="673"/>
      <c r="H502" s="100">
        <f>F502*G502</f>
        <v>0</v>
      </c>
      <c r="J502" s="101"/>
    </row>
    <row r="503" spans="1:10" s="104" customFormat="1" ht="13.5" customHeight="1">
      <c r="A503" s="97"/>
      <c r="B503" s="98"/>
      <c r="C503" s="98"/>
      <c r="D503" s="102" t="s">
        <v>472</v>
      </c>
      <c r="E503" s="98"/>
      <c r="F503" s="103">
        <f>215-66</f>
        <v>149</v>
      </c>
      <c r="G503" s="673"/>
      <c r="H503" s="100"/>
      <c r="J503" s="101"/>
    </row>
    <row r="504" spans="1:10" s="104" customFormat="1" ht="13.5" customHeight="1">
      <c r="A504" s="97">
        <v>201</v>
      </c>
      <c r="B504" s="98">
        <v>766</v>
      </c>
      <c r="C504" s="98" t="s">
        <v>473</v>
      </c>
      <c r="D504" s="98" t="s">
        <v>474</v>
      </c>
      <c r="E504" s="98" t="s">
        <v>48</v>
      </c>
      <c r="F504" s="99">
        <f>F505</f>
        <v>134.5</v>
      </c>
      <c r="G504" s="673"/>
      <c r="H504" s="100">
        <f>F504*G504</f>
        <v>0</v>
      </c>
      <c r="J504" s="101"/>
    </row>
    <row r="505" spans="1:10" s="104" customFormat="1" ht="27" customHeight="1">
      <c r="A505" s="97"/>
      <c r="B505" s="98"/>
      <c r="C505" s="98"/>
      <c r="D505" s="102" t="s">
        <v>475</v>
      </c>
      <c r="E505" s="98"/>
      <c r="F505" s="103">
        <f>146.5-12</f>
        <v>134.5</v>
      </c>
      <c r="G505" s="673"/>
      <c r="H505" s="100"/>
      <c r="J505" s="101"/>
    </row>
    <row r="506" spans="1:10" s="104" customFormat="1" ht="13.5" customHeight="1">
      <c r="A506" s="97">
        <v>202</v>
      </c>
      <c r="B506" s="98">
        <v>766</v>
      </c>
      <c r="C506" s="98" t="s">
        <v>476</v>
      </c>
      <c r="D506" s="98" t="s">
        <v>477</v>
      </c>
      <c r="E506" s="98" t="s">
        <v>48</v>
      </c>
      <c r="F506" s="99">
        <f>F507</f>
        <v>11.2</v>
      </c>
      <c r="G506" s="673"/>
      <c r="H506" s="100">
        <f>F506*G506</f>
        <v>0</v>
      </c>
      <c r="J506" s="101"/>
    </row>
    <row r="507" spans="1:10" s="104" customFormat="1" ht="13.5" customHeight="1">
      <c r="A507" s="97"/>
      <c r="B507" s="98"/>
      <c r="C507" s="98"/>
      <c r="D507" s="102" t="s">
        <v>478</v>
      </c>
      <c r="E507" s="98"/>
      <c r="F507" s="103">
        <v>11.2</v>
      </c>
      <c r="G507" s="673"/>
      <c r="H507" s="100"/>
      <c r="J507" s="101"/>
    </row>
    <row r="508" spans="1:10" s="104" customFormat="1" ht="13.5" customHeight="1">
      <c r="A508" s="97">
        <v>203</v>
      </c>
      <c r="B508" s="98">
        <v>766</v>
      </c>
      <c r="C508" s="98">
        <v>766674811</v>
      </c>
      <c r="D508" s="98" t="s">
        <v>479</v>
      </c>
      <c r="E508" s="98" t="s">
        <v>25</v>
      </c>
      <c r="F508" s="99">
        <f>F510</f>
        <v>83</v>
      </c>
      <c r="G508" s="673"/>
      <c r="H508" s="100">
        <f>F508*G508</f>
        <v>0</v>
      </c>
      <c r="J508" s="101"/>
    </row>
    <row r="509" spans="1:10" s="104" customFormat="1" ht="13.5" customHeight="1">
      <c r="A509" s="97"/>
      <c r="B509" s="98"/>
      <c r="C509" s="98"/>
      <c r="D509" s="102" t="s">
        <v>480</v>
      </c>
      <c r="E509" s="98"/>
      <c r="F509" s="103"/>
      <c r="G509" s="673"/>
      <c r="H509" s="100"/>
      <c r="J509" s="101"/>
    </row>
    <row r="510" spans="1:10" s="104" customFormat="1" ht="13.5" customHeight="1">
      <c r="A510" s="97"/>
      <c r="B510" s="98"/>
      <c r="C510" s="98"/>
      <c r="D510" s="102" t="s">
        <v>481</v>
      </c>
      <c r="E510" s="98"/>
      <c r="F510" s="103">
        <f>101-18</f>
        <v>83</v>
      </c>
      <c r="G510" s="673"/>
      <c r="H510" s="100"/>
      <c r="J510" s="101"/>
    </row>
    <row r="511" spans="1:10" s="104" customFormat="1" ht="13.5" customHeight="1">
      <c r="A511" s="97">
        <v>204</v>
      </c>
      <c r="B511" s="98">
        <v>766</v>
      </c>
      <c r="C511" s="98" t="s">
        <v>482</v>
      </c>
      <c r="D511" s="98" t="s">
        <v>483</v>
      </c>
      <c r="E511" s="98" t="s">
        <v>25</v>
      </c>
      <c r="F511" s="99">
        <f>F512</f>
        <v>11</v>
      </c>
      <c r="G511" s="673"/>
      <c r="H511" s="100">
        <f>F511*G511</f>
        <v>0</v>
      </c>
      <c r="J511" s="101"/>
    </row>
    <row r="512" spans="1:10" s="104" customFormat="1" ht="13.5" customHeight="1">
      <c r="A512" s="111"/>
      <c r="B512" s="102"/>
      <c r="C512" s="102"/>
      <c r="D512" s="102" t="s">
        <v>484</v>
      </c>
      <c r="E512" s="102"/>
      <c r="F512" s="112">
        <v>11</v>
      </c>
      <c r="G512" s="677"/>
      <c r="H512" s="113"/>
      <c r="I512" s="114"/>
      <c r="J512" s="117"/>
    </row>
    <row r="513" spans="1:10" s="104" customFormat="1" ht="13.5" customHeight="1">
      <c r="A513" s="111"/>
      <c r="B513" s="102"/>
      <c r="C513" s="102"/>
      <c r="D513" s="102" t="s">
        <v>485</v>
      </c>
      <c r="E513" s="102"/>
      <c r="F513" s="112"/>
      <c r="G513" s="677"/>
      <c r="H513" s="113"/>
      <c r="I513" s="114"/>
      <c r="J513" s="117"/>
    </row>
    <row r="514" spans="1:10" s="104" customFormat="1" ht="13.5" customHeight="1">
      <c r="A514" s="97">
        <v>205</v>
      </c>
      <c r="B514" s="98">
        <v>766</v>
      </c>
      <c r="C514" s="98" t="s">
        <v>486</v>
      </c>
      <c r="D514" s="98" t="s">
        <v>487</v>
      </c>
      <c r="E514" s="98" t="s">
        <v>25</v>
      </c>
      <c r="F514" s="99">
        <f>F515</f>
        <v>2</v>
      </c>
      <c r="G514" s="673"/>
      <c r="H514" s="100">
        <f>F514*G514</f>
        <v>0</v>
      </c>
      <c r="J514" s="101"/>
    </row>
    <row r="515" spans="1:10" s="104" customFormat="1" ht="13.5" customHeight="1">
      <c r="A515" s="111"/>
      <c r="B515" s="102"/>
      <c r="C515" s="102"/>
      <c r="D515" s="102" t="s">
        <v>484</v>
      </c>
      <c r="E515" s="102"/>
      <c r="F515" s="112">
        <v>2</v>
      </c>
      <c r="G515" s="677"/>
      <c r="H515" s="113"/>
      <c r="I515" s="114"/>
      <c r="J515" s="117"/>
    </row>
    <row r="516" spans="1:10" s="104" customFormat="1" ht="13.5" customHeight="1">
      <c r="A516" s="111"/>
      <c r="B516" s="102"/>
      <c r="C516" s="102"/>
      <c r="D516" s="102" t="s">
        <v>485</v>
      </c>
      <c r="E516" s="102"/>
      <c r="F516" s="112"/>
      <c r="G516" s="677"/>
      <c r="H516" s="113"/>
      <c r="I516" s="114"/>
      <c r="J516" s="117"/>
    </row>
    <row r="517" spans="1:10" s="104" customFormat="1" ht="13.5" customHeight="1">
      <c r="A517" s="97">
        <v>206</v>
      </c>
      <c r="B517" s="98">
        <v>766</v>
      </c>
      <c r="C517" s="98" t="s">
        <v>488</v>
      </c>
      <c r="D517" s="98" t="s">
        <v>489</v>
      </c>
      <c r="E517" s="98" t="s">
        <v>25</v>
      </c>
      <c r="F517" s="99">
        <f>F518</f>
        <v>1</v>
      </c>
      <c r="G517" s="673"/>
      <c r="H517" s="100">
        <f>F517*G517</f>
        <v>0</v>
      </c>
      <c r="J517" s="101"/>
    </row>
    <row r="518" spans="1:10" s="104" customFormat="1" ht="13.5" customHeight="1">
      <c r="A518" s="111"/>
      <c r="B518" s="102"/>
      <c r="C518" s="102"/>
      <c r="D518" s="102" t="s">
        <v>484</v>
      </c>
      <c r="E518" s="102"/>
      <c r="F518" s="112">
        <v>1</v>
      </c>
      <c r="G518" s="677"/>
      <c r="H518" s="113"/>
      <c r="I518" s="114"/>
      <c r="J518" s="117"/>
    </row>
    <row r="519" spans="1:10" s="104" customFormat="1" ht="13.5" customHeight="1">
      <c r="A519" s="111"/>
      <c r="B519" s="102"/>
      <c r="C519" s="102"/>
      <c r="D519" s="102" t="s">
        <v>485</v>
      </c>
      <c r="E519" s="102"/>
      <c r="F519" s="112"/>
      <c r="G519" s="677"/>
      <c r="H519" s="113"/>
      <c r="I519" s="114"/>
      <c r="J519" s="117"/>
    </row>
    <row r="520" spans="1:10" s="104" customFormat="1" ht="13.5" customHeight="1">
      <c r="A520" s="97">
        <v>207</v>
      </c>
      <c r="B520" s="98">
        <v>766</v>
      </c>
      <c r="C520" s="98" t="s">
        <v>490</v>
      </c>
      <c r="D520" s="98" t="s">
        <v>491</v>
      </c>
      <c r="E520" s="98" t="s">
        <v>25</v>
      </c>
      <c r="F520" s="99">
        <f>F521</f>
        <v>103</v>
      </c>
      <c r="G520" s="673"/>
      <c r="H520" s="100">
        <f>F520*G520</f>
        <v>0</v>
      </c>
      <c r="J520" s="101"/>
    </row>
    <row r="521" spans="1:10" s="104" customFormat="1" ht="13.5" customHeight="1">
      <c r="A521" s="111"/>
      <c r="B521" s="102"/>
      <c r="C521" s="102"/>
      <c r="D521" s="102" t="s">
        <v>484</v>
      </c>
      <c r="E521" s="102"/>
      <c r="F521" s="112">
        <f>141-38</f>
        <v>103</v>
      </c>
      <c r="G521" s="677"/>
      <c r="H521" s="113"/>
      <c r="I521" s="114"/>
      <c r="J521" s="117"/>
    </row>
    <row r="522" spans="1:10" s="104" customFormat="1" ht="13.5" customHeight="1">
      <c r="A522" s="111"/>
      <c r="B522" s="102"/>
      <c r="C522" s="102"/>
      <c r="D522" s="102" t="s">
        <v>485</v>
      </c>
      <c r="E522" s="102"/>
      <c r="F522" s="112"/>
      <c r="G522" s="677"/>
      <c r="H522" s="113"/>
      <c r="I522" s="114"/>
      <c r="J522" s="117"/>
    </row>
    <row r="523" spans="1:10" s="104" customFormat="1" ht="13.5" customHeight="1">
      <c r="A523" s="97">
        <v>208</v>
      </c>
      <c r="B523" s="98">
        <v>766</v>
      </c>
      <c r="C523" s="98" t="s">
        <v>492</v>
      </c>
      <c r="D523" s="98" t="s">
        <v>493</v>
      </c>
      <c r="E523" s="98" t="s">
        <v>25</v>
      </c>
      <c r="F523" s="99">
        <f>F524</f>
        <v>21</v>
      </c>
      <c r="G523" s="673"/>
      <c r="H523" s="100">
        <f>F523*G523</f>
        <v>0</v>
      </c>
      <c r="J523" s="101"/>
    </row>
    <row r="524" spans="1:10" s="104" customFormat="1" ht="13.5" customHeight="1">
      <c r="A524" s="111"/>
      <c r="B524" s="102"/>
      <c r="C524" s="102"/>
      <c r="D524" s="102" t="s">
        <v>484</v>
      </c>
      <c r="E524" s="102"/>
      <c r="F524" s="112">
        <f>32-11</f>
        <v>21</v>
      </c>
      <c r="G524" s="677"/>
      <c r="H524" s="113"/>
      <c r="I524" s="114"/>
      <c r="J524" s="117"/>
    </row>
    <row r="525" spans="1:10" s="104" customFormat="1" ht="13.5" customHeight="1">
      <c r="A525" s="111"/>
      <c r="B525" s="102"/>
      <c r="C525" s="102"/>
      <c r="D525" s="102" t="s">
        <v>485</v>
      </c>
      <c r="E525" s="102"/>
      <c r="F525" s="112"/>
      <c r="G525" s="677"/>
      <c r="H525" s="113"/>
      <c r="I525" s="114"/>
      <c r="J525" s="117"/>
    </row>
    <row r="526" spans="1:10" s="104" customFormat="1" ht="13.5" customHeight="1">
      <c r="A526" s="97">
        <v>209</v>
      </c>
      <c r="B526" s="98">
        <v>766</v>
      </c>
      <c r="C526" s="98" t="s">
        <v>494</v>
      </c>
      <c r="D526" s="98" t="s">
        <v>495</v>
      </c>
      <c r="E526" s="98" t="s">
        <v>25</v>
      </c>
      <c r="F526" s="99">
        <f>F527</f>
        <v>15</v>
      </c>
      <c r="G526" s="673"/>
      <c r="H526" s="100">
        <f>F526*G526</f>
        <v>0</v>
      </c>
      <c r="J526" s="101"/>
    </row>
    <row r="527" spans="1:10" s="104" customFormat="1" ht="13.5" customHeight="1">
      <c r="A527" s="111"/>
      <c r="B527" s="102"/>
      <c r="C527" s="102"/>
      <c r="D527" s="102" t="s">
        <v>484</v>
      </c>
      <c r="E527" s="102"/>
      <c r="F527" s="112">
        <v>15</v>
      </c>
      <c r="G527" s="677"/>
      <c r="H527" s="113"/>
      <c r="I527" s="114"/>
      <c r="J527" s="117"/>
    </row>
    <row r="528" spans="1:10" s="104" customFormat="1" ht="13.5" customHeight="1">
      <c r="A528" s="111"/>
      <c r="B528" s="102"/>
      <c r="C528" s="102"/>
      <c r="D528" s="102" t="s">
        <v>485</v>
      </c>
      <c r="E528" s="102"/>
      <c r="F528" s="112"/>
      <c r="G528" s="677"/>
      <c r="H528" s="113"/>
      <c r="I528" s="114"/>
      <c r="J528" s="117"/>
    </row>
    <row r="529" spans="1:10" s="104" customFormat="1" ht="13.5" customHeight="1">
      <c r="A529" s="97">
        <v>210</v>
      </c>
      <c r="B529" s="98">
        <v>766</v>
      </c>
      <c r="C529" s="98" t="s">
        <v>496</v>
      </c>
      <c r="D529" s="98" t="s">
        <v>497</v>
      </c>
      <c r="E529" s="98" t="s">
        <v>25</v>
      </c>
      <c r="F529" s="99">
        <f>F530</f>
        <v>34</v>
      </c>
      <c r="G529" s="673"/>
      <c r="H529" s="100">
        <f>F529*G529</f>
        <v>0</v>
      </c>
      <c r="J529" s="101"/>
    </row>
    <row r="530" spans="1:10" s="104" customFormat="1" ht="13.5" customHeight="1">
      <c r="A530" s="111"/>
      <c r="B530" s="102"/>
      <c r="C530" s="102"/>
      <c r="D530" s="102" t="s">
        <v>498</v>
      </c>
      <c r="E530" s="102"/>
      <c r="F530" s="112">
        <v>34</v>
      </c>
      <c r="G530" s="677"/>
      <c r="H530" s="113"/>
      <c r="I530" s="114"/>
      <c r="J530" s="117"/>
    </row>
    <row r="531" spans="1:10" s="104" customFormat="1" ht="13.5" customHeight="1">
      <c r="A531" s="111"/>
      <c r="B531" s="102"/>
      <c r="C531" s="102"/>
      <c r="D531" s="102" t="s">
        <v>485</v>
      </c>
      <c r="E531" s="102"/>
      <c r="F531" s="112"/>
      <c r="G531" s="677"/>
      <c r="H531" s="113"/>
      <c r="I531" s="114"/>
      <c r="J531" s="117"/>
    </row>
    <row r="532" spans="1:10" s="104" customFormat="1" ht="13.5" customHeight="1">
      <c r="A532" s="97">
        <v>211</v>
      </c>
      <c r="B532" s="98">
        <v>766</v>
      </c>
      <c r="C532" s="98" t="s">
        <v>499</v>
      </c>
      <c r="D532" s="98" t="s">
        <v>500</v>
      </c>
      <c r="E532" s="98" t="s">
        <v>25</v>
      </c>
      <c r="F532" s="99">
        <f>F533</f>
        <v>4</v>
      </c>
      <c r="G532" s="673"/>
      <c r="H532" s="100">
        <f>F532*G532</f>
        <v>0</v>
      </c>
      <c r="J532" s="101"/>
    </row>
    <row r="533" spans="1:10" s="104" customFormat="1" ht="13.5" customHeight="1">
      <c r="A533" s="111"/>
      <c r="B533" s="102"/>
      <c r="C533" s="102"/>
      <c r="D533" s="102" t="s">
        <v>501</v>
      </c>
      <c r="E533" s="102"/>
      <c r="F533" s="112">
        <f>14-10</f>
        <v>4</v>
      </c>
      <c r="G533" s="677"/>
      <c r="H533" s="113"/>
      <c r="I533" s="114"/>
      <c r="J533" s="117"/>
    </row>
    <row r="534" spans="1:10" s="104" customFormat="1" ht="13.5" customHeight="1">
      <c r="A534" s="111"/>
      <c r="B534" s="102"/>
      <c r="C534" s="102"/>
      <c r="D534" s="102" t="s">
        <v>485</v>
      </c>
      <c r="E534" s="102"/>
      <c r="F534" s="112"/>
      <c r="G534" s="677"/>
      <c r="H534" s="113"/>
      <c r="I534" s="114"/>
      <c r="J534" s="117"/>
    </row>
    <row r="535" spans="1:10" s="104" customFormat="1" ht="13.5" customHeight="1">
      <c r="A535" s="97">
        <v>212</v>
      </c>
      <c r="B535" s="98">
        <v>766</v>
      </c>
      <c r="C535" s="98" t="s">
        <v>502</v>
      </c>
      <c r="D535" s="98" t="s">
        <v>503</v>
      </c>
      <c r="E535" s="98" t="s">
        <v>25</v>
      </c>
      <c r="F535" s="99">
        <f>F536</f>
        <v>3</v>
      </c>
      <c r="G535" s="673"/>
      <c r="H535" s="100">
        <f>F535*G535</f>
        <v>0</v>
      </c>
      <c r="J535" s="101"/>
    </row>
    <row r="536" spans="1:10" s="104" customFormat="1" ht="13.5" customHeight="1">
      <c r="A536" s="111"/>
      <c r="B536" s="102"/>
      <c r="C536" s="102"/>
      <c r="D536" s="102" t="s">
        <v>501</v>
      </c>
      <c r="E536" s="102"/>
      <c r="F536" s="112">
        <v>3</v>
      </c>
      <c r="G536" s="677"/>
      <c r="H536" s="113"/>
      <c r="I536" s="114"/>
      <c r="J536" s="117"/>
    </row>
    <row r="537" spans="1:10" s="104" customFormat="1" ht="13.5" customHeight="1">
      <c r="A537" s="111"/>
      <c r="B537" s="102"/>
      <c r="C537" s="102"/>
      <c r="D537" s="102" t="s">
        <v>485</v>
      </c>
      <c r="E537" s="102"/>
      <c r="F537" s="112"/>
      <c r="G537" s="677"/>
      <c r="H537" s="113"/>
      <c r="I537" s="114"/>
      <c r="J537" s="117"/>
    </row>
    <row r="538" spans="1:10" s="104" customFormat="1" ht="13.5" customHeight="1">
      <c r="A538" s="97">
        <v>213</v>
      </c>
      <c r="B538" s="98">
        <v>766</v>
      </c>
      <c r="C538" s="98" t="s">
        <v>504</v>
      </c>
      <c r="D538" s="98" t="s">
        <v>505</v>
      </c>
      <c r="E538" s="98" t="s">
        <v>25</v>
      </c>
      <c r="F538" s="99">
        <f>F539</f>
        <v>5</v>
      </c>
      <c r="G538" s="673"/>
      <c r="H538" s="100">
        <f>F538*G538</f>
        <v>0</v>
      </c>
      <c r="J538" s="101"/>
    </row>
    <row r="539" spans="1:10" s="104" customFormat="1" ht="13.5" customHeight="1">
      <c r="A539" s="111"/>
      <c r="B539" s="102"/>
      <c r="C539" s="102"/>
      <c r="D539" s="102" t="s">
        <v>484</v>
      </c>
      <c r="E539" s="102"/>
      <c r="F539" s="112">
        <v>5</v>
      </c>
      <c r="G539" s="677"/>
      <c r="H539" s="113"/>
      <c r="I539" s="114"/>
      <c r="J539" s="117"/>
    </row>
    <row r="540" spans="1:10" s="104" customFormat="1" ht="13.5" customHeight="1">
      <c r="A540" s="111"/>
      <c r="B540" s="102"/>
      <c r="C540" s="102"/>
      <c r="D540" s="102" t="s">
        <v>485</v>
      </c>
      <c r="E540" s="102"/>
      <c r="F540" s="112"/>
      <c r="G540" s="677"/>
      <c r="H540" s="113"/>
      <c r="I540" s="114"/>
      <c r="J540" s="117"/>
    </row>
    <row r="541" spans="1:10" s="104" customFormat="1" ht="13.5" customHeight="1">
      <c r="A541" s="97">
        <v>215</v>
      </c>
      <c r="B541" s="98">
        <v>766</v>
      </c>
      <c r="C541" s="98" t="s">
        <v>507</v>
      </c>
      <c r="D541" s="98" t="s">
        <v>508</v>
      </c>
      <c r="E541" s="98" t="s">
        <v>25</v>
      </c>
      <c r="F541" s="99">
        <f>F542</f>
        <v>1</v>
      </c>
      <c r="G541" s="673"/>
      <c r="H541" s="100">
        <f>F541*G541</f>
        <v>0</v>
      </c>
      <c r="J541" s="101"/>
    </row>
    <row r="542" spans="1:10" s="104" customFormat="1" ht="13.5" customHeight="1">
      <c r="A542" s="111"/>
      <c r="B542" s="102"/>
      <c r="C542" s="102"/>
      <c r="D542" s="102" t="s">
        <v>484</v>
      </c>
      <c r="E542" s="102"/>
      <c r="F542" s="112">
        <v>1</v>
      </c>
      <c r="G542" s="677"/>
      <c r="H542" s="113"/>
      <c r="I542" s="114"/>
      <c r="J542" s="117"/>
    </row>
    <row r="543" spans="1:10" s="104" customFormat="1" ht="13.5" customHeight="1">
      <c r="A543" s="111"/>
      <c r="B543" s="102"/>
      <c r="C543" s="102"/>
      <c r="D543" s="102" t="s">
        <v>485</v>
      </c>
      <c r="E543" s="102"/>
      <c r="F543" s="112"/>
      <c r="G543" s="677"/>
      <c r="H543" s="113"/>
      <c r="I543" s="114"/>
      <c r="J543" s="117"/>
    </row>
    <row r="544" spans="1:10" s="104" customFormat="1" ht="13.5" customHeight="1">
      <c r="A544" s="97">
        <v>218</v>
      </c>
      <c r="B544" s="98">
        <v>766</v>
      </c>
      <c r="C544" s="98" t="s">
        <v>509</v>
      </c>
      <c r="D544" s="98" t="s">
        <v>510</v>
      </c>
      <c r="E544" s="98" t="s">
        <v>25</v>
      </c>
      <c r="F544" s="99">
        <f>F545</f>
        <v>3</v>
      </c>
      <c r="G544" s="673"/>
      <c r="H544" s="100">
        <f>F544*G544</f>
        <v>0</v>
      </c>
      <c r="J544" s="101"/>
    </row>
    <row r="545" spans="1:10" s="104" customFormat="1" ht="13.5" customHeight="1">
      <c r="A545" s="111"/>
      <c r="B545" s="102"/>
      <c r="C545" s="102"/>
      <c r="D545" s="102" t="s">
        <v>484</v>
      </c>
      <c r="E545" s="102"/>
      <c r="F545" s="112">
        <v>3</v>
      </c>
      <c r="G545" s="677"/>
      <c r="H545" s="113"/>
      <c r="I545" s="114"/>
      <c r="J545" s="117"/>
    </row>
    <row r="546" spans="1:10" s="104" customFormat="1" ht="13.5" customHeight="1">
      <c r="A546" s="111"/>
      <c r="B546" s="102"/>
      <c r="C546" s="102"/>
      <c r="D546" s="102" t="s">
        <v>485</v>
      </c>
      <c r="E546" s="102"/>
      <c r="F546" s="112"/>
      <c r="G546" s="677"/>
      <c r="H546" s="113"/>
      <c r="I546" s="114"/>
      <c r="J546" s="117"/>
    </row>
    <row r="547" spans="1:10" s="104" customFormat="1" ht="13.5" customHeight="1">
      <c r="A547" s="97">
        <v>219</v>
      </c>
      <c r="B547" s="98">
        <v>766</v>
      </c>
      <c r="C547" s="98" t="s">
        <v>511</v>
      </c>
      <c r="D547" s="98" t="s">
        <v>512</v>
      </c>
      <c r="E547" s="98" t="s">
        <v>25</v>
      </c>
      <c r="F547" s="99">
        <f>F548</f>
        <v>1</v>
      </c>
      <c r="G547" s="673"/>
      <c r="H547" s="100">
        <f>F547*G547</f>
        <v>0</v>
      </c>
      <c r="J547" s="101"/>
    </row>
    <row r="548" spans="1:10" s="104" customFormat="1" ht="13.5" customHeight="1">
      <c r="A548" s="111"/>
      <c r="B548" s="102"/>
      <c r="C548" s="102"/>
      <c r="D548" s="102" t="s">
        <v>484</v>
      </c>
      <c r="E548" s="102"/>
      <c r="F548" s="112">
        <v>1</v>
      </c>
      <c r="G548" s="677"/>
      <c r="H548" s="113"/>
      <c r="I548" s="114"/>
      <c r="J548" s="117"/>
    </row>
    <row r="549" spans="1:10" s="104" customFormat="1" ht="13.5" customHeight="1">
      <c r="A549" s="111"/>
      <c r="B549" s="102"/>
      <c r="C549" s="102"/>
      <c r="D549" s="102" t="s">
        <v>485</v>
      </c>
      <c r="E549" s="102"/>
      <c r="F549" s="112"/>
      <c r="G549" s="677"/>
      <c r="H549" s="113"/>
      <c r="I549" s="114"/>
      <c r="J549" s="117"/>
    </row>
    <row r="550" spans="1:10" s="104" customFormat="1" ht="13.5" customHeight="1">
      <c r="A550" s="97">
        <v>220</v>
      </c>
      <c r="B550" s="98">
        <v>766</v>
      </c>
      <c r="C550" s="98" t="s">
        <v>513</v>
      </c>
      <c r="D550" s="98" t="s">
        <v>514</v>
      </c>
      <c r="E550" s="98" t="s">
        <v>25</v>
      </c>
      <c r="F550" s="99">
        <f>F551</f>
        <v>73</v>
      </c>
      <c r="G550" s="673"/>
      <c r="H550" s="100">
        <f>F550*G550</f>
        <v>0</v>
      </c>
      <c r="J550" s="101"/>
    </row>
    <row r="551" spans="1:10" s="104" customFormat="1" ht="13.5" customHeight="1">
      <c r="A551" s="111"/>
      <c r="B551" s="102"/>
      <c r="C551" s="102"/>
      <c r="D551" s="102" t="s">
        <v>515</v>
      </c>
      <c r="E551" s="102"/>
      <c r="F551" s="112">
        <f>100-27</f>
        <v>73</v>
      </c>
      <c r="G551" s="677"/>
      <c r="H551" s="113"/>
      <c r="I551" s="114"/>
      <c r="J551" s="117"/>
    </row>
    <row r="552" spans="1:10" s="104" customFormat="1" ht="13.5" customHeight="1">
      <c r="A552" s="111"/>
      <c r="B552" s="102"/>
      <c r="C552" s="102"/>
      <c r="D552" s="102" t="s">
        <v>485</v>
      </c>
      <c r="E552" s="102"/>
      <c r="F552" s="112"/>
      <c r="G552" s="677"/>
      <c r="H552" s="113"/>
      <c r="I552" s="114"/>
      <c r="J552" s="117"/>
    </row>
    <row r="553" spans="1:10" s="104" customFormat="1" ht="13.5" customHeight="1">
      <c r="A553" s="97">
        <v>221</v>
      </c>
      <c r="B553" s="98">
        <v>766</v>
      </c>
      <c r="C553" s="98" t="s">
        <v>516</v>
      </c>
      <c r="D553" s="98" t="s">
        <v>517</v>
      </c>
      <c r="E553" s="98" t="s">
        <v>25</v>
      </c>
      <c r="F553" s="99">
        <f>F554</f>
        <v>1</v>
      </c>
      <c r="G553" s="673"/>
      <c r="H553" s="100">
        <f>F553*G553</f>
        <v>0</v>
      </c>
      <c r="J553" s="101"/>
    </row>
    <row r="554" spans="1:10" s="104" customFormat="1" ht="13.5" customHeight="1">
      <c r="A554" s="111"/>
      <c r="B554" s="102"/>
      <c r="C554" s="102"/>
      <c r="D554" s="102" t="s">
        <v>515</v>
      </c>
      <c r="E554" s="102"/>
      <c r="F554" s="112">
        <v>1</v>
      </c>
      <c r="G554" s="677"/>
      <c r="H554" s="113"/>
      <c r="I554" s="114"/>
      <c r="J554" s="117"/>
    </row>
    <row r="555" spans="1:10" s="104" customFormat="1" ht="13.5" customHeight="1">
      <c r="A555" s="111"/>
      <c r="B555" s="102"/>
      <c r="C555" s="102"/>
      <c r="D555" s="102" t="s">
        <v>485</v>
      </c>
      <c r="E555" s="102"/>
      <c r="F555" s="112"/>
      <c r="G555" s="677"/>
      <c r="H555" s="113"/>
      <c r="I555" s="114"/>
      <c r="J555" s="117"/>
    </row>
    <row r="556" spans="1:10" s="104" customFormat="1" ht="13.5" customHeight="1">
      <c r="A556" s="97">
        <v>222</v>
      </c>
      <c r="B556" s="98">
        <v>766</v>
      </c>
      <c r="C556" s="98" t="s">
        <v>518</v>
      </c>
      <c r="D556" s="98" t="s">
        <v>519</v>
      </c>
      <c r="E556" s="98" t="s">
        <v>25</v>
      </c>
      <c r="F556" s="99">
        <f>F557</f>
        <v>6</v>
      </c>
      <c r="G556" s="673"/>
      <c r="H556" s="100">
        <f>F556*G556</f>
        <v>0</v>
      </c>
      <c r="J556" s="101"/>
    </row>
    <row r="557" spans="1:10" s="104" customFormat="1" ht="13.5" customHeight="1">
      <c r="A557" s="111"/>
      <c r="B557" s="102"/>
      <c r="C557" s="102"/>
      <c r="D557" s="102" t="s">
        <v>520</v>
      </c>
      <c r="E557" s="102"/>
      <c r="F557" s="112">
        <v>6</v>
      </c>
      <c r="G557" s="677"/>
      <c r="H557" s="113"/>
      <c r="I557" s="114"/>
      <c r="J557" s="117"/>
    </row>
    <row r="558" spans="1:10" s="104" customFormat="1" ht="13.5" customHeight="1">
      <c r="A558" s="111"/>
      <c r="B558" s="102"/>
      <c r="C558" s="102"/>
      <c r="D558" s="102" t="s">
        <v>485</v>
      </c>
      <c r="E558" s="102"/>
      <c r="F558" s="112"/>
      <c r="G558" s="677"/>
      <c r="H558" s="113"/>
      <c r="I558" s="114"/>
      <c r="J558" s="117"/>
    </row>
    <row r="559" spans="1:10" s="104" customFormat="1" ht="27" customHeight="1">
      <c r="A559" s="97">
        <v>223</v>
      </c>
      <c r="B559" s="98">
        <v>766</v>
      </c>
      <c r="C559" s="98" t="s">
        <v>521</v>
      </c>
      <c r="D559" s="98" t="s">
        <v>522</v>
      </c>
      <c r="E559" s="98" t="s">
        <v>25</v>
      </c>
      <c r="F559" s="99">
        <f>F560</f>
        <v>1</v>
      </c>
      <c r="G559" s="673"/>
      <c r="H559" s="100">
        <f>F559*G559</f>
        <v>0</v>
      </c>
      <c r="J559" s="101"/>
    </row>
    <row r="560" spans="1:10" s="104" customFormat="1" ht="13.5" customHeight="1">
      <c r="A560" s="111"/>
      <c r="B560" s="102"/>
      <c r="C560" s="102"/>
      <c r="D560" s="102" t="s">
        <v>523</v>
      </c>
      <c r="E560" s="102"/>
      <c r="F560" s="112">
        <v>1</v>
      </c>
      <c r="G560" s="677"/>
      <c r="H560" s="113"/>
      <c r="I560" s="114"/>
      <c r="J560" s="117"/>
    </row>
    <row r="561" spans="1:10" s="104" customFormat="1" ht="13.5" customHeight="1">
      <c r="A561" s="111"/>
      <c r="B561" s="102"/>
      <c r="C561" s="102"/>
      <c r="D561" s="102" t="s">
        <v>485</v>
      </c>
      <c r="E561" s="102"/>
      <c r="F561" s="112"/>
      <c r="G561" s="677"/>
      <c r="H561" s="113"/>
      <c r="I561" s="114"/>
      <c r="J561" s="117"/>
    </row>
    <row r="562" spans="1:10" s="104" customFormat="1" ht="13.5" customHeight="1">
      <c r="A562" s="97">
        <v>224</v>
      </c>
      <c r="B562" s="98">
        <v>766</v>
      </c>
      <c r="C562" s="98" t="s">
        <v>524</v>
      </c>
      <c r="D562" s="98" t="s">
        <v>1359</v>
      </c>
      <c r="E562" s="98" t="s">
        <v>25</v>
      </c>
      <c r="F562" s="99">
        <f>F563</f>
        <v>1</v>
      </c>
      <c r="G562" s="673"/>
      <c r="H562" s="100">
        <f>F562*G562</f>
        <v>0</v>
      </c>
      <c r="J562" s="101"/>
    </row>
    <row r="563" spans="1:10" s="104" customFormat="1" ht="13.5" customHeight="1">
      <c r="A563" s="111"/>
      <c r="B563" s="102"/>
      <c r="C563" s="102"/>
      <c r="D563" s="102" t="s">
        <v>525</v>
      </c>
      <c r="E563" s="102"/>
      <c r="F563" s="112">
        <v>1</v>
      </c>
      <c r="G563" s="677"/>
      <c r="H563" s="113"/>
      <c r="I563" s="114"/>
      <c r="J563" s="117"/>
    </row>
    <row r="564" spans="1:10" s="104" customFormat="1" ht="13.5" customHeight="1">
      <c r="A564" s="111"/>
      <c r="B564" s="102"/>
      <c r="C564" s="102"/>
      <c r="D564" s="102" t="s">
        <v>485</v>
      </c>
      <c r="E564" s="102"/>
      <c r="F564" s="112"/>
      <c r="G564" s="677"/>
      <c r="H564" s="113"/>
      <c r="I564" s="114"/>
      <c r="J564" s="117"/>
    </row>
    <row r="565" spans="1:10" s="104" customFormat="1" ht="13.5" customHeight="1">
      <c r="A565" s="97">
        <v>225</v>
      </c>
      <c r="B565" s="98">
        <v>766</v>
      </c>
      <c r="C565" s="98" t="s">
        <v>526</v>
      </c>
      <c r="D565" s="98" t="s">
        <v>1360</v>
      </c>
      <c r="E565" s="98" t="s">
        <v>25</v>
      </c>
      <c r="F565" s="99">
        <f>F566</f>
        <v>1</v>
      </c>
      <c r="G565" s="673"/>
      <c r="H565" s="100">
        <f>F565*G565</f>
        <v>0</v>
      </c>
      <c r="I565" s="114"/>
      <c r="J565" s="101"/>
    </row>
    <row r="566" spans="1:10" s="104" customFormat="1" ht="13.5" customHeight="1">
      <c r="A566" s="111"/>
      <c r="B566" s="102"/>
      <c r="C566" s="102"/>
      <c r="D566" s="102" t="s">
        <v>525</v>
      </c>
      <c r="E566" s="102"/>
      <c r="F566" s="112">
        <v>1</v>
      </c>
      <c r="G566" s="677"/>
      <c r="H566" s="113"/>
      <c r="I566" s="114"/>
      <c r="J566" s="117"/>
    </row>
    <row r="567" spans="1:10" s="104" customFormat="1" ht="13.5" customHeight="1">
      <c r="A567" s="111"/>
      <c r="B567" s="102"/>
      <c r="C567" s="102"/>
      <c r="D567" s="102" t="s">
        <v>485</v>
      </c>
      <c r="E567" s="102"/>
      <c r="F567" s="112"/>
      <c r="G567" s="677"/>
      <c r="H567" s="113"/>
      <c r="I567" s="114"/>
      <c r="J567" s="117"/>
    </row>
    <row r="568" spans="1:10" s="104" customFormat="1" ht="13.5" customHeight="1">
      <c r="A568" s="97">
        <v>226</v>
      </c>
      <c r="B568" s="98">
        <v>766</v>
      </c>
      <c r="C568" s="98" t="s">
        <v>527</v>
      </c>
      <c r="D568" s="98" t="s">
        <v>1361</v>
      </c>
      <c r="E568" s="98" t="s">
        <v>25</v>
      </c>
      <c r="F568" s="99">
        <f>F569</f>
        <v>1</v>
      </c>
      <c r="G568" s="673"/>
      <c r="H568" s="100">
        <f>F568*G568</f>
        <v>0</v>
      </c>
      <c r="I568" s="114"/>
      <c r="J568" s="101"/>
    </row>
    <row r="569" spans="1:10" s="104" customFormat="1" ht="13.5" customHeight="1">
      <c r="A569" s="111"/>
      <c r="B569" s="102"/>
      <c r="C569" s="102"/>
      <c r="D569" s="102" t="s">
        <v>528</v>
      </c>
      <c r="E569" s="102"/>
      <c r="F569" s="112">
        <v>1</v>
      </c>
      <c r="G569" s="677"/>
      <c r="H569" s="113"/>
      <c r="I569" s="114"/>
      <c r="J569" s="117"/>
    </row>
    <row r="570" spans="1:10" s="104" customFormat="1" ht="13.5" customHeight="1">
      <c r="A570" s="111"/>
      <c r="B570" s="102"/>
      <c r="C570" s="102"/>
      <c r="D570" s="102" t="s">
        <v>485</v>
      </c>
      <c r="E570" s="102"/>
      <c r="F570" s="112"/>
      <c r="G570" s="677"/>
      <c r="H570" s="113"/>
      <c r="I570" s="114"/>
      <c r="J570" s="117"/>
    </row>
    <row r="571" spans="1:10" s="104" customFormat="1" ht="13.5" customHeight="1">
      <c r="A571" s="97">
        <v>227</v>
      </c>
      <c r="B571" s="98">
        <v>766</v>
      </c>
      <c r="C571" s="98" t="s">
        <v>532</v>
      </c>
      <c r="D571" s="98" t="s">
        <v>533</v>
      </c>
      <c r="E571" s="98" t="s">
        <v>25</v>
      </c>
      <c r="F571" s="99">
        <f>F572</f>
        <v>1</v>
      </c>
      <c r="G571" s="673"/>
      <c r="H571" s="100">
        <f>F571*G571</f>
        <v>0</v>
      </c>
      <c r="J571" s="101"/>
    </row>
    <row r="572" spans="1:10" s="104" customFormat="1" ht="54" customHeight="1">
      <c r="A572" s="111"/>
      <c r="B572" s="102"/>
      <c r="C572" s="102"/>
      <c r="D572" s="102" t="s">
        <v>534</v>
      </c>
      <c r="E572" s="102"/>
      <c r="F572" s="112">
        <v>1</v>
      </c>
      <c r="G572" s="677"/>
      <c r="H572" s="113"/>
      <c r="I572" s="114"/>
      <c r="J572" s="117"/>
    </row>
    <row r="573" spans="1:10" s="104" customFormat="1" ht="13.5" customHeight="1">
      <c r="A573" s="111"/>
      <c r="B573" s="102"/>
      <c r="C573" s="102"/>
      <c r="D573" s="102" t="s">
        <v>485</v>
      </c>
      <c r="E573" s="102"/>
      <c r="F573" s="112"/>
      <c r="G573" s="677"/>
      <c r="H573" s="113"/>
      <c r="I573" s="114"/>
      <c r="J573" s="117"/>
    </row>
    <row r="574" spans="1:10" s="104" customFormat="1" ht="13.5" customHeight="1">
      <c r="A574" s="97">
        <v>228</v>
      </c>
      <c r="B574" s="98">
        <v>766</v>
      </c>
      <c r="C574" s="98" t="s">
        <v>535</v>
      </c>
      <c r="D574" s="98" t="s">
        <v>536</v>
      </c>
      <c r="E574" s="98" t="s">
        <v>25</v>
      </c>
      <c r="F574" s="99">
        <f>F575</f>
        <v>1</v>
      </c>
      <c r="G574" s="673"/>
      <c r="H574" s="100">
        <f>F574*G574</f>
        <v>0</v>
      </c>
      <c r="J574" s="101"/>
    </row>
    <row r="575" spans="1:10" s="104" customFormat="1" ht="54" customHeight="1">
      <c r="A575" s="111"/>
      <c r="B575" s="102"/>
      <c r="C575" s="102"/>
      <c r="D575" s="102" t="s">
        <v>534</v>
      </c>
      <c r="E575" s="102"/>
      <c r="F575" s="112">
        <v>1</v>
      </c>
      <c r="G575" s="677"/>
      <c r="H575" s="113"/>
      <c r="I575" s="114"/>
      <c r="J575" s="117"/>
    </row>
    <row r="576" spans="1:10" s="104" customFormat="1" ht="13.5" customHeight="1">
      <c r="A576" s="111"/>
      <c r="B576" s="102"/>
      <c r="C576" s="102"/>
      <c r="D576" s="102" t="s">
        <v>485</v>
      </c>
      <c r="E576" s="102"/>
      <c r="F576" s="112"/>
      <c r="G576" s="677"/>
      <c r="H576" s="113"/>
      <c r="I576" s="114"/>
      <c r="J576" s="117"/>
    </row>
    <row r="577" spans="1:10" s="104" customFormat="1" ht="13.5" customHeight="1">
      <c r="A577" s="97">
        <v>229</v>
      </c>
      <c r="B577" s="98">
        <v>766</v>
      </c>
      <c r="C577" s="98" t="s">
        <v>537</v>
      </c>
      <c r="D577" s="98" t="s">
        <v>538</v>
      </c>
      <c r="E577" s="98" t="s">
        <v>25</v>
      </c>
      <c r="F577" s="99">
        <f>F578</f>
        <v>4</v>
      </c>
      <c r="G577" s="673"/>
      <c r="H577" s="100">
        <f>F577*G577</f>
        <v>0</v>
      </c>
      <c r="J577" s="101"/>
    </row>
    <row r="578" spans="1:10" s="104" customFormat="1" ht="54" customHeight="1">
      <c r="A578" s="111"/>
      <c r="B578" s="102"/>
      <c r="C578" s="102"/>
      <c r="D578" s="102" t="s">
        <v>534</v>
      </c>
      <c r="E578" s="102"/>
      <c r="F578" s="112">
        <v>4</v>
      </c>
      <c r="G578" s="677"/>
      <c r="H578" s="113"/>
      <c r="I578" s="114"/>
      <c r="J578" s="117"/>
    </row>
    <row r="579" spans="1:10" s="104" customFormat="1" ht="13.5" customHeight="1">
      <c r="A579" s="111"/>
      <c r="B579" s="102"/>
      <c r="C579" s="102"/>
      <c r="D579" s="102" t="s">
        <v>485</v>
      </c>
      <c r="E579" s="102"/>
      <c r="F579" s="112"/>
      <c r="G579" s="677"/>
      <c r="H579" s="113"/>
      <c r="I579" s="114"/>
      <c r="J579" s="117"/>
    </row>
    <row r="580" spans="1:10" s="104" customFormat="1" ht="13.5" customHeight="1">
      <c r="A580" s="97">
        <v>230</v>
      </c>
      <c r="B580" s="98">
        <v>766</v>
      </c>
      <c r="C580" s="98" t="s">
        <v>539</v>
      </c>
      <c r="D580" s="98" t="s">
        <v>540</v>
      </c>
      <c r="E580" s="98" t="s">
        <v>25</v>
      </c>
      <c r="F580" s="99">
        <f>F581</f>
        <v>2</v>
      </c>
      <c r="G580" s="673"/>
      <c r="H580" s="100">
        <f>F580*G580</f>
        <v>0</v>
      </c>
      <c r="J580" s="101"/>
    </row>
    <row r="581" spans="1:10" s="104" customFormat="1" ht="54" customHeight="1">
      <c r="A581" s="111"/>
      <c r="B581" s="102"/>
      <c r="C581" s="102"/>
      <c r="D581" s="102" t="s">
        <v>534</v>
      </c>
      <c r="E581" s="102"/>
      <c r="F581" s="112">
        <v>2</v>
      </c>
      <c r="G581" s="677"/>
      <c r="H581" s="113"/>
      <c r="I581" s="114"/>
      <c r="J581" s="117"/>
    </row>
    <row r="582" spans="1:10" s="104" customFormat="1" ht="13.5" customHeight="1">
      <c r="A582" s="111"/>
      <c r="B582" s="102"/>
      <c r="C582" s="102"/>
      <c r="D582" s="102" t="s">
        <v>485</v>
      </c>
      <c r="E582" s="102"/>
      <c r="F582" s="112"/>
      <c r="G582" s="677"/>
      <c r="H582" s="113"/>
      <c r="I582" s="114"/>
      <c r="J582" s="117"/>
    </row>
    <row r="583" spans="1:10" s="104" customFormat="1" ht="13.5" customHeight="1">
      <c r="A583" s="97">
        <v>231</v>
      </c>
      <c r="B583" s="98">
        <v>766</v>
      </c>
      <c r="C583" s="98" t="s">
        <v>541</v>
      </c>
      <c r="D583" s="98" t="s">
        <v>542</v>
      </c>
      <c r="E583" s="98" t="s">
        <v>25</v>
      </c>
      <c r="F583" s="99">
        <f>F584</f>
        <v>2</v>
      </c>
      <c r="G583" s="673"/>
      <c r="H583" s="100">
        <f>F583*G583</f>
        <v>0</v>
      </c>
      <c r="J583" s="101"/>
    </row>
    <row r="584" spans="1:10" s="104" customFormat="1" ht="54" customHeight="1">
      <c r="A584" s="111"/>
      <c r="B584" s="102"/>
      <c r="C584" s="102"/>
      <c r="D584" s="102" t="s">
        <v>534</v>
      </c>
      <c r="E584" s="102"/>
      <c r="F584" s="112">
        <v>2</v>
      </c>
      <c r="G584" s="677"/>
      <c r="H584" s="113"/>
      <c r="I584" s="114"/>
      <c r="J584" s="117"/>
    </row>
    <row r="585" spans="1:10" s="104" customFormat="1" ht="13.5" customHeight="1">
      <c r="A585" s="111"/>
      <c r="B585" s="102"/>
      <c r="C585" s="102"/>
      <c r="D585" s="102" t="s">
        <v>485</v>
      </c>
      <c r="E585" s="102"/>
      <c r="F585" s="112"/>
      <c r="G585" s="677"/>
      <c r="H585" s="113"/>
      <c r="I585" s="114"/>
      <c r="J585" s="117"/>
    </row>
    <row r="586" spans="1:10" s="104" customFormat="1" ht="13.5" customHeight="1">
      <c r="A586" s="97">
        <v>232</v>
      </c>
      <c r="B586" s="98">
        <v>766</v>
      </c>
      <c r="C586" s="98" t="s">
        <v>543</v>
      </c>
      <c r="D586" s="98" t="s">
        <v>544</v>
      </c>
      <c r="E586" s="98" t="s">
        <v>25</v>
      </c>
      <c r="F586" s="99">
        <f>F587</f>
        <v>1</v>
      </c>
      <c r="G586" s="673"/>
      <c r="H586" s="100">
        <f>F586*G586</f>
        <v>0</v>
      </c>
      <c r="J586" s="101"/>
    </row>
    <row r="587" spans="1:10" s="104" customFormat="1" ht="54" customHeight="1">
      <c r="A587" s="111"/>
      <c r="B587" s="102"/>
      <c r="C587" s="102"/>
      <c r="D587" s="102" t="s">
        <v>534</v>
      </c>
      <c r="E587" s="102"/>
      <c r="F587" s="112">
        <v>1</v>
      </c>
      <c r="G587" s="677"/>
      <c r="H587" s="113"/>
      <c r="I587" s="114"/>
      <c r="J587" s="117"/>
    </row>
    <row r="588" spans="1:10" s="104" customFormat="1" ht="13.5" customHeight="1">
      <c r="A588" s="111"/>
      <c r="B588" s="102"/>
      <c r="C588" s="102"/>
      <c r="D588" s="102" t="s">
        <v>485</v>
      </c>
      <c r="E588" s="102"/>
      <c r="F588" s="112"/>
      <c r="G588" s="677"/>
      <c r="H588" s="113"/>
      <c r="I588" s="114"/>
      <c r="J588" s="117"/>
    </row>
    <row r="589" spans="1:10" s="104" customFormat="1" ht="13.5" customHeight="1">
      <c r="A589" s="97">
        <v>233</v>
      </c>
      <c r="B589" s="98">
        <v>766</v>
      </c>
      <c r="C589" s="98" t="s">
        <v>545</v>
      </c>
      <c r="D589" s="98" t="s">
        <v>546</v>
      </c>
      <c r="E589" s="98" t="s">
        <v>25</v>
      </c>
      <c r="F589" s="99">
        <f>F590</f>
        <v>1</v>
      </c>
      <c r="G589" s="673"/>
      <c r="H589" s="100">
        <f>F589*G589</f>
        <v>0</v>
      </c>
      <c r="J589" s="101"/>
    </row>
    <row r="590" spans="1:10" s="104" customFormat="1" ht="54" customHeight="1">
      <c r="A590" s="111"/>
      <c r="B590" s="102"/>
      <c r="C590" s="102"/>
      <c r="D590" s="102" t="s">
        <v>534</v>
      </c>
      <c r="E590" s="102"/>
      <c r="F590" s="112">
        <v>1</v>
      </c>
      <c r="G590" s="677"/>
      <c r="H590" s="113"/>
      <c r="I590" s="114"/>
      <c r="J590" s="117"/>
    </row>
    <row r="591" spans="1:10" s="104" customFormat="1" ht="13.5" customHeight="1">
      <c r="A591" s="111"/>
      <c r="B591" s="102"/>
      <c r="C591" s="102"/>
      <c r="D591" s="102" t="s">
        <v>485</v>
      </c>
      <c r="E591" s="102"/>
      <c r="F591" s="112"/>
      <c r="G591" s="677"/>
      <c r="H591" s="113"/>
      <c r="I591" s="114"/>
      <c r="J591" s="117"/>
    </row>
    <row r="592" spans="1:10" s="104" customFormat="1" ht="13.5" customHeight="1">
      <c r="A592" s="97">
        <v>234</v>
      </c>
      <c r="B592" s="98">
        <v>766</v>
      </c>
      <c r="C592" s="98" t="s">
        <v>547</v>
      </c>
      <c r="D592" s="98" t="s">
        <v>548</v>
      </c>
      <c r="E592" s="98" t="s">
        <v>25</v>
      </c>
      <c r="F592" s="99">
        <f>F593</f>
        <v>1</v>
      </c>
      <c r="G592" s="673"/>
      <c r="H592" s="100">
        <f>F592*G592</f>
        <v>0</v>
      </c>
      <c r="J592" s="101"/>
    </row>
    <row r="593" spans="1:10" s="104" customFormat="1" ht="54" customHeight="1">
      <c r="A593" s="111"/>
      <c r="B593" s="102"/>
      <c r="C593" s="102"/>
      <c r="D593" s="102" t="s">
        <v>534</v>
      </c>
      <c r="E593" s="102"/>
      <c r="F593" s="112">
        <v>1</v>
      </c>
      <c r="G593" s="677"/>
      <c r="H593" s="113"/>
      <c r="I593" s="114"/>
      <c r="J593" s="117"/>
    </row>
    <row r="594" spans="1:10" s="104" customFormat="1" ht="13.5" customHeight="1">
      <c r="A594" s="111"/>
      <c r="B594" s="102"/>
      <c r="C594" s="102"/>
      <c r="D594" s="102" t="s">
        <v>485</v>
      </c>
      <c r="E594" s="102"/>
      <c r="F594" s="112"/>
      <c r="G594" s="677"/>
      <c r="H594" s="113"/>
      <c r="I594" s="114"/>
      <c r="J594" s="117"/>
    </row>
    <row r="595" spans="1:10" s="104" customFormat="1" ht="13.5" customHeight="1">
      <c r="A595" s="97">
        <v>235</v>
      </c>
      <c r="B595" s="98">
        <v>766</v>
      </c>
      <c r="C595" s="98" t="s">
        <v>549</v>
      </c>
      <c r="D595" s="98" t="s">
        <v>550</v>
      </c>
      <c r="E595" s="98" t="s">
        <v>25</v>
      </c>
      <c r="F595" s="99">
        <f>F596</f>
        <v>3</v>
      </c>
      <c r="G595" s="673"/>
      <c r="H595" s="100">
        <f>F595*G595</f>
        <v>0</v>
      </c>
      <c r="J595" s="101"/>
    </row>
    <row r="596" spans="1:10" s="104" customFormat="1" ht="54" customHeight="1">
      <c r="A596" s="111"/>
      <c r="B596" s="102"/>
      <c r="C596" s="102"/>
      <c r="D596" s="102" t="s">
        <v>534</v>
      </c>
      <c r="E596" s="102"/>
      <c r="F596" s="112">
        <v>3</v>
      </c>
      <c r="G596" s="677"/>
      <c r="H596" s="113"/>
      <c r="I596" s="114"/>
      <c r="J596" s="117"/>
    </row>
    <row r="597" spans="1:10" s="104" customFormat="1" ht="13.5" customHeight="1">
      <c r="A597" s="111"/>
      <c r="B597" s="102"/>
      <c r="C597" s="102"/>
      <c r="D597" s="102" t="s">
        <v>485</v>
      </c>
      <c r="E597" s="102"/>
      <c r="F597" s="112"/>
      <c r="G597" s="677"/>
      <c r="H597" s="113"/>
      <c r="I597" s="114"/>
      <c r="J597" s="117"/>
    </row>
    <row r="598" spans="1:10" s="104" customFormat="1" ht="13.5" customHeight="1">
      <c r="A598" s="97">
        <v>236</v>
      </c>
      <c r="B598" s="98">
        <v>766</v>
      </c>
      <c r="C598" s="98" t="s">
        <v>551</v>
      </c>
      <c r="D598" s="98" t="s">
        <v>552</v>
      </c>
      <c r="E598" s="98" t="s">
        <v>25</v>
      </c>
      <c r="F598" s="99">
        <f>F599</f>
        <v>5</v>
      </c>
      <c r="G598" s="673"/>
      <c r="H598" s="100">
        <f>F598*G598</f>
        <v>0</v>
      </c>
      <c r="J598" s="101"/>
    </row>
    <row r="599" spans="1:10" s="104" customFormat="1" ht="54" customHeight="1">
      <c r="A599" s="111"/>
      <c r="B599" s="102"/>
      <c r="C599" s="102"/>
      <c r="D599" s="102" t="s">
        <v>534</v>
      </c>
      <c r="E599" s="102"/>
      <c r="F599" s="112">
        <v>5</v>
      </c>
      <c r="G599" s="677"/>
      <c r="H599" s="113"/>
      <c r="I599" s="114"/>
      <c r="J599" s="117"/>
    </row>
    <row r="600" spans="1:10" s="104" customFormat="1" ht="13.5" customHeight="1">
      <c r="A600" s="111"/>
      <c r="B600" s="102"/>
      <c r="C600" s="102"/>
      <c r="D600" s="102" t="s">
        <v>485</v>
      </c>
      <c r="E600" s="102"/>
      <c r="F600" s="112"/>
      <c r="G600" s="677"/>
      <c r="H600" s="113"/>
      <c r="I600" s="114"/>
      <c r="J600" s="117"/>
    </row>
    <row r="601" spans="1:10" s="104" customFormat="1" ht="13.5" customHeight="1">
      <c r="A601" s="97">
        <v>237</v>
      </c>
      <c r="B601" s="98">
        <v>766</v>
      </c>
      <c r="C601" s="98" t="s">
        <v>553</v>
      </c>
      <c r="D601" s="98" t="s">
        <v>554</v>
      </c>
      <c r="E601" s="98" t="s">
        <v>25</v>
      </c>
      <c r="F601" s="99">
        <f>F602</f>
        <v>2</v>
      </c>
      <c r="G601" s="673"/>
      <c r="H601" s="100">
        <f>F601*G601</f>
        <v>0</v>
      </c>
      <c r="J601" s="101"/>
    </row>
    <row r="602" spans="1:10" s="104" customFormat="1" ht="54" customHeight="1">
      <c r="A602" s="111"/>
      <c r="B602" s="102"/>
      <c r="C602" s="102"/>
      <c r="D602" s="102" t="s">
        <v>534</v>
      </c>
      <c r="E602" s="102"/>
      <c r="F602" s="112">
        <v>2</v>
      </c>
      <c r="G602" s="677"/>
      <c r="H602" s="113"/>
      <c r="I602" s="114"/>
      <c r="J602" s="117"/>
    </row>
    <row r="603" spans="1:10" s="104" customFormat="1" ht="13.5" customHeight="1">
      <c r="A603" s="111"/>
      <c r="B603" s="102"/>
      <c r="C603" s="102"/>
      <c r="D603" s="102" t="s">
        <v>485</v>
      </c>
      <c r="E603" s="102"/>
      <c r="F603" s="112"/>
      <c r="G603" s="677"/>
      <c r="H603" s="113"/>
      <c r="I603" s="114"/>
      <c r="J603" s="117"/>
    </row>
    <row r="604" spans="1:10" s="104" customFormat="1" ht="13.5" customHeight="1">
      <c r="A604" s="97">
        <v>238</v>
      </c>
      <c r="B604" s="98">
        <v>766</v>
      </c>
      <c r="C604" s="98" t="s">
        <v>555</v>
      </c>
      <c r="D604" s="98" t="s">
        <v>556</v>
      </c>
      <c r="E604" s="98" t="s">
        <v>25</v>
      </c>
      <c r="F604" s="99">
        <f>F605</f>
        <v>1</v>
      </c>
      <c r="G604" s="673"/>
      <c r="H604" s="100">
        <f>F604*G604</f>
        <v>0</v>
      </c>
      <c r="J604" s="101"/>
    </row>
    <row r="605" spans="1:10" s="104" customFormat="1" ht="54" customHeight="1">
      <c r="A605" s="111"/>
      <c r="B605" s="102"/>
      <c r="C605" s="102"/>
      <c r="D605" s="102" t="s">
        <v>534</v>
      </c>
      <c r="E605" s="102"/>
      <c r="F605" s="112">
        <v>1</v>
      </c>
      <c r="G605" s="677"/>
      <c r="H605" s="113"/>
      <c r="I605" s="114"/>
      <c r="J605" s="117"/>
    </row>
    <row r="606" spans="1:10" s="104" customFormat="1" ht="13.5" customHeight="1">
      <c r="A606" s="111"/>
      <c r="B606" s="102"/>
      <c r="C606" s="102"/>
      <c r="D606" s="102" t="s">
        <v>485</v>
      </c>
      <c r="E606" s="102"/>
      <c r="F606" s="112"/>
      <c r="G606" s="677"/>
      <c r="H606" s="113"/>
      <c r="I606" s="114"/>
      <c r="J606" s="117"/>
    </row>
    <row r="607" spans="1:10" s="104" customFormat="1" ht="13.5" customHeight="1">
      <c r="A607" s="97">
        <v>239</v>
      </c>
      <c r="B607" s="98">
        <v>766</v>
      </c>
      <c r="C607" s="98" t="s">
        <v>557</v>
      </c>
      <c r="D607" s="98" t="s">
        <v>558</v>
      </c>
      <c r="E607" s="98" t="s">
        <v>25</v>
      </c>
      <c r="F607" s="99">
        <f>F608</f>
        <v>1</v>
      </c>
      <c r="G607" s="673"/>
      <c r="H607" s="100">
        <f>F607*G607</f>
        <v>0</v>
      </c>
      <c r="J607" s="101"/>
    </row>
    <row r="608" spans="1:10" s="104" customFormat="1" ht="54" customHeight="1">
      <c r="A608" s="111"/>
      <c r="B608" s="102"/>
      <c r="C608" s="102"/>
      <c r="D608" s="102" t="s">
        <v>534</v>
      </c>
      <c r="E608" s="102"/>
      <c r="F608" s="112">
        <v>1</v>
      </c>
      <c r="G608" s="677"/>
      <c r="H608" s="113"/>
      <c r="I608" s="114"/>
      <c r="J608" s="117"/>
    </row>
    <row r="609" spans="1:10" s="104" customFormat="1" ht="13.5" customHeight="1">
      <c r="A609" s="111"/>
      <c r="B609" s="102"/>
      <c r="C609" s="102"/>
      <c r="D609" s="102" t="s">
        <v>485</v>
      </c>
      <c r="E609" s="102"/>
      <c r="F609" s="112"/>
      <c r="G609" s="677"/>
      <c r="H609" s="113"/>
      <c r="I609" s="114"/>
      <c r="J609" s="117"/>
    </row>
    <row r="610" spans="1:10" s="104" customFormat="1" ht="13.5" customHeight="1">
      <c r="A610" s="97">
        <v>240</v>
      </c>
      <c r="B610" s="98">
        <v>766</v>
      </c>
      <c r="C610" s="98" t="s">
        <v>559</v>
      </c>
      <c r="D610" s="98" t="s">
        <v>560</v>
      </c>
      <c r="E610" s="98" t="s">
        <v>25</v>
      </c>
      <c r="F610" s="99">
        <f>F611</f>
        <v>1</v>
      </c>
      <c r="G610" s="673"/>
      <c r="H610" s="100">
        <f>F610*G610</f>
        <v>0</v>
      </c>
      <c r="J610" s="101"/>
    </row>
    <row r="611" spans="1:10" s="104" customFormat="1" ht="54" customHeight="1">
      <c r="A611" s="111"/>
      <c r="B611" s="102"/>
      <c r="C611" s="102"/>
      <c r="D611" s="102" t="s">
        <v>534</v>
      </c>
      <c r="E611" s="102"/>
      <c r="F611" s="112">
        <v>1</v>
      </c>
      <c r="G611" s="677"/>
      <c r="H611" s="113"/>
      <c r="I611" s="114"/>
      <c r="J611" s="117"/>
    </row>
    <row r="612" spans="1:10" s="104" customFormat="1" ht="13.5" customHeight="1">
      <c r="A612" s="111"/>
      <c r="B612" s="102"/>
      <c r="C612" s="102"/>
      <c r="D612" s="102" t="s">
        <v>485</v>
      </c>
      <c r="E612" s="102"/>
      <c r="F612" s="112"/>
      <c r="G612" s="677"/>
      <c r="H612" s="113"/>
      <c r="I612" s="114"/>
      <c r="J612" s="117"/>
    </row>
    <row r="613" spans="1:10" s="104" customFormat="1" ht="27" customHeight="1">
      <c r="A613" s="97">
        <v>241</v>
      </c>
      <c r="B613" s="98">
        <v>766</v>
      </c>
      <c r="C613" s="98" t="s">
        <v>573</v>
      </c>
      <c r="D613" s="98" t="s">
        <v>574</v>
      </c>
      <c r="E613" s="98" t="s">
        <v>25</v>
      </c>
      <c r="F613" s="99">
        <f>F614</f>
        <v>34</v>
      </c>
      <c r="G613" s="673"/>
      <c r="H613" s="100">
        <f>F613*G613</f>
        <v>0</v>
      </c>
      <c r="J613" s="101"/>
    </row>
    <row r="614" spans="1:10" s="114" customFormat="1" ht="13.5" customHeight="1">
      <c r="A614" s="111"/>
      <c r="B614" s="102"/>
      <c r="C614" s="102"/>
      <c r="D614" s="102" t="s">
        <v>575</v>
      </c>
      <c r="E614" s="102"/>
      <c r="F614" s="112">
        <v>34</v>
      </c>
      <c r="G614" s="677"/>
      <c r="H614" s="113"/>
      <c r="J614" s="117"/>
    </row>
    <row r="615" spans="1:10" s="114" customFormat="1" ht="13.5" customHeight="1">
      <c r="A615" s="111"/>
      <c r="B615" s="102"/>
      <c r="C615" s="102"/>
      <c r="D615" s="102" t="s">
        <v>564</v>
      </c>
      <c r="E615" s="102"/>
      <c r="F615" s="112"/>
      <c r="G615" s="677"/>
      <c r="H615" s="113"/>
      <c r="J615" s="117"/>
    </row>
    <row r="616" spans="1:10" s="104" customFormat="1" ht="27" customHeight="1">
      <c r="A616" s="97">
        <v>242</v>
      </c>
      <c r="B616" s="98">
        <v>766</v>
      </c>
      <c r="C616" s="98" t="s">
        <v>576</v>
      </c>
      <c r="D616" s="98" t="s">
        <v>577</v>
      </c>
      <c r="E616" s="98" t="s">
        <v>25</v>
      </c>
      <c r="F616" s="99">
        <f>F617</f>
        <v>16</v>
      </c>
      <c r="G616" s="673"/>
      <c r="H616" s="100">
        <f>F616*G616</f>
        <v>0</v>
      </c>
      <c r="J616" s="101"/>
    </row>
    <row r="617" spans="1:10" s="114" customFormat="1" ht="13.5" customHeight="1">
      <c r="A617" s="111"/>
      <c r="B617" s="102"/>
      <c r="C617" s="102"/>
      <c r="D617" s="102" t="s">
        <v>575</v>
      </c>
      <c r="E617" s="102"/>
      <c r="F617" s="112">
        <v>16</v>
      </c>
      <c r="G617" s="677"/>
      <c r="H617" s="113"/>
      <c r="J617" s="117"/>
    </row>
    <row r="618" spans="1:10" s="114" customFormat="1" ht="13.5" customHeight="1">
      <c r="A618" s="111"/>
      <c r="B618" s="102"/>
      <c r="C618" s="102"/>
      <c r="D618" s="102" t="s">
        <v>564</v>
      </c>
      <c r="E618" s="102"/>
      <c r="F618" s="112"/>
      <c r="G618" s="677"/>
      <c r="H618" s="113"/>
      <c r="J618" s="117"/>
    </row>
    <row r="619" spans="1:10" s="104" customFormat="1" ht="27" customHeight="1">
      <c r="A619" s="97">
        <v>243</v>
      </c>
      <c r="B619" s="98">
        <v>766</v>
      </c>
      <c r="C619" s="98" t="s">
        <v>578</v>
      </c>
      <c r="D619" s="98" t="s">
        <v>579</v>
      </c>
      <c r="E619" s="98" t="s">
        <v>25</v>
      </c>
      <c r="F619" s="99">
        <f>F620</f>
        <v>3</v>
      </c>
      <c r="G619" s="673"/>
      <c r="H619" s="100">
        <f>F619*G619</f>
        <v>0</v>
      </c>
      <c r="J619" s="101"/>
    </row>
    <row r="620" spans="1:10" s="114" customFormat="1" ht="13.5" customHeight="1">
      <c r="A620" s="111"/>
      <c r="B620" s="102"/>
      <c r="C620" s="102"/>
      <c r="D620" s="102" t="s">
        <v>575</v>
      </c>
      <c r="E620" s="102"/>
      <c r="F620" s="112">
        <v>3</v>
      </c>
      <c r="G620" s="677"/>
      <c r="H620" s="113"/>
      <c r="J620" s="117"/>
    </row>
    <row r="621" spans="1:10" s="114" customFormat="1" ht="13.5" customHeight="1">
      <c r="A621" s="111"/>
      <c r="B621" s="102"/>
      <c r="C621" s="102"/>
      <c r="D621" s="102" t="s">
        <v>564</v>
      </c>
      <c r="E621" s="102"/>
      <c r="F621" s="112"/>
      <c r="G621" s="677"/>
      <c r="H621" s="113"/>
      <c r="J621" s="117"/>
    </row>
    <row r="622" spans="1:10" s="104" customFormat="1" ht="13.5" customHeight="1">
      <c r="A622" s="97">
        <v>244</v>
      </c>
      <c r="B622" s="98">
        <v>766</v>
      </c>
      <c r="C622" s="98" t="s">
        <v>598</v>
      </c>
      <c r="D622" s="98" t="s">
        <v>599</v>
      </c>
      <c r="E622" s="98" t="s">
        <v>25</v>
      </c>
      <c r="F622" s="99">
        <f>F623</f>
        <v>4</v>
      </c>
      <c r="G622" s="673"/>
      <c r="H622" s="100">
        <f>F622*G622</f>
        <v>0</v>
      </c>
      <c r="J622" s="101"/>
    </row>
    <row r="623" spans="1:10" s="114" customFormat="1" ht="13.5" customHeight="1">
      <c r="A623" s="111"/>
      <c r="B623" s="102"/>
      <c r="C623" s="102"/>
      <c r="D623" s="102" t="s">
        <v>600</v>
      </c>
      <c r="E623" s="102"/>
      <c r="F623" s="112">
        <v>4</v>
      </c>
      <c r="G623" s="677"/>
      <c r="H623" s="113"/>
      <c r="J623" s="117"/>
    </row>
    <row r="624" spans="1:10" s="104" customFormat="1" ht="13.5" customHeight="1">
      <c r="A624" s="97">
        <v>245</v>
      </c>
      <c r="B624" s="98">
        <v>998</v>
      </c>
      <c r="C624" s="98">
        <v>998766202</v>
      </c>
      <c r="D624" s="98" t="s">
        <v>601</v>
      </c>
      <c r="E624" s="98" t="s">
        <v>10</v>
      </c>
      <c r="F624" s="99">
        <v>1.08</v>
      </c>
      <c r="G624" s="673"/>
      <c r="H624" s="100">
        <f>F624*G624</f>
        <v>0</v>
      </c>
      <c r="J624" s="101"/>
    </row>
    <row r="625" spans="1:10" s="104" customFormat="1" ht="13.5" customHeight="1">
      <c r="A625" s="97">
        <v>246</v>
      </c>
      <c r="B625" s="98">
        <v>766</v>
      </c>
      <c r="C625" s="98" t="s">
        <v>602</v>
      </c>
      <c r="D625" s="98" t="s">
        <v>603</v>
      </c>
      <c r="E625" s="98" t="s">
        <v>25</v>
      </c>
      <c r="F625" s="99">
        <v>1</v>
      </c>
      <c r="G625" s="673"/>
      <c r="H625" s="100">
        <f>F625*G625</f>
        <v>0</v>
      </c>
      <c r="J625" s="101"/>
    </row>
    <row r="626" spans="1:10" s="104" customFormat="1" ht="27" customHeight="1">
      <c r="A626" s="111"/>
      <c r="B626" s="102"/>
      <c r="C626" s="102"/>
      <c r="D626" s="102" t="s">
        <v>213</v>
      </c>
      <c r="E626" s="102"/>
      <c r="F626" s="112">
        <v>1</v>
      </c>
      <c r="G626" s="677"/>
      <c r="H626" s="113"/>
      <c r="I626" s="114"/>
      <c r="J626" s="117"/>
    </row>
    <row r="627" spans="1:8" ht="15" customHeight="1">
      <c r="A627" s="93"/>
      <c r="B627" s="94"/>
      <c r="C627" s="94">
        <v>767</v>
      </c>
      <c r="D627" s="94" t="s">
        <v>604</v>
      </c>
      <c r="E627" s="94"/>
      <c r="F627" s="95"/>
      <c r="G627" s="678"/>
      <c r="H627" s="96">
        <f>SUM(H628:H704)</f>
        <v>0</v>
      </c>
    </row>
    <row r="628" spans="1:10" s="104" customFormat="1" ht="13.5" customHeight="1">
      <c r="A628" s="97">
        <v>247</v>
      </c>
      <c r="B628" s="98">
        <v>767</v>
      </c>
      <c r="C628" s="98">
        <v>767161812</v>
      </c>
      <c r="D628" s="98" t="s">
        <v>605</v>
      </c>
      <c r="E628" s="98" t="s">
        <v>139</v>
      </c>
      <c r="F628" s="99">
        <f>F629</f>
        <v>115.2</v>
      </c>
      <c r="G628" s="673"/>
      <c r="H628" s="100">
        <f>F628*G628</f>
        <v>0</v>
      </c>
      <c r="J628" s="101"/>
    </row>
    <row r="629" spans="1:10" s="104" customFormat="1" ht="13.5" customHeight="1">
      <c r="A629" s="97"/>
      <c r="B629" s="98"/>
      <c r="C629" s="98"/>
      <c r="D629" s="102" t="s">
        <v>606</v>
      </c>
      <c r="E629" s="98"/>
      <c r="F629" s="103">
        <v>115.2</v>
      </c>
      <c r="G629" s="673"/>
      <c r="H629" s="100"/>
      <c r="J629" s="101"/>
    </row>
    <row r="630" spans="1:10" s="104" customFormat="1" ht="13.5" customHeight="1">
      <c r="A630" s="97">
        <v>248</v>
      </c>
      <c r="B630" s="98">
        <v>767</v>
      </c>
      <c r="C630" s="98">
        <v>767631800</v>
      </c>
      <c r="D630" s="98" t="s">
        <v>607</v>
      </c>
      <c r="E630" s="98" t="s">
        <v>48</v>
      </c>
      <c r="F630" s="99">
        <f>F631</f>
        <v>9.6</v>
      </c>
      <c r="G630" s="673"/>
      <c r="H630" s="100">
        <f>F630*G630</f>
        <v>0</v>
      </c>
      <c r="J630" s="101"/>
    </row>
    <row r="631" spans="1:10" s="104" customFormat="1" ht="13.5" customHeight="1">
      <c r="A631" s="97"/>
      <c r="B631" s="98"/>
      <c r="C631" s="98"/>
      <c r="D631" s="102" t="s">
        <v>608</v>
      </c>
      <c r="E631" s="98"/>
      <c r="F631" s="103">
        <v>9.6</v>
      </c>
      <c r="G631" s="673"/>
      <c r="H631" s="100"/>
      <c r="J631" s="101"/>
    </row>
    <row r="632" spans="1:10" s="104" customFormat="1" ht="13.5" customHeight="1">
      <c r="A632" s="97">
        <v>249</v>
      </c>
      <c r="B632" s="98">
        <v>767</v>
      </c>
      <c r="C632" s="98">
        <v>767641805</v>
      </c>
      <c r="D632" s="98" t="s">
        <v>609</v>
      </c>
      <c r="E632" s="98" t="s">
        <v>48</v>
      </c>
      <c r="F632" s="99">
        <f>F633</f>
        <v>10.6</v>
      </c>
      <c r="G632" s="673"/>
      <c r="H632" s="100">
        <f>F632*G632</f>
        <v>0</v>
      </c>
      <c r="J632" s="101"/>
    </row>
    <row r="633" spans="1:10" s="104" customFormat="1" ht="27" customHeight="1">
      <c r="A633" s="97"/>
      <c r="B633" s="98"/>
      <c r="C633" s="98"/>
      <c r="D633" s="102" t="s">
        <v>610</v>
      </c>
      <c r="E633" s="98"/>
      <c r="F633" s="103">
        <v>10.6</v>
      </c>
      <c r="G633" s="673"/>
      <c r="H633" s="100"/>
      <c r="J633" s="101"/>
    </row>
    <row r="634" spans="1:10" s="104" customFormat="1" ht="13.5" customHeight="1">
      <c r="A634" s="97">
        <v>250</v>
      </c>
      <c r="B634" s="98">
        <v>767</v>
      </c>
      <c r="C634" s="98">
        <v>767691813</v>
      </c>
      <c r="D634" s="98" t="s">
        <v>611</v>
      </c>
      <c r="E634" s="98" t="s">
        <v>25</v>
      </c>
      <c r="F634" s="99">
        <f>F635</f>
        <v>15</v>
      </c>
      <c r="G634" s="673"/>
      <c r="H634" s="100">
        <f>F634*G634</f>
        <v>0</v>
      </c>
      <c r="J634" s="101"/>
    </row>
    <row r="635" spans="1:10" s="104" customFormat="1" ht="27" customHeight="1">
      <c r="A635" s="97"/>
      <c r="B635" s="98"/>
      <c r="C635" s="98"/>
      <c r="D635" s="102" t="s">
        <v>612</v>
      </c>
      <c r="E635" s="98"/>
      <c r="F635" s="103">
        <v>15</v>
      </c>
      <c r="G635" s="673"/>
      <c r="H635" s="100"/>
      <c r="J635" s="101"/>
    </row>
    <row r="636" spans="1:10" s="104" customFormat="1" ht="13.5" customHeight="1">
      <c r="A636" s="97">
        <v>251</v>
      </c>
      <c r="B636" s="98">
        <v>767</v>
      </c>
      <c r="C636" s="98">
        <v>767691823</v>
      </c>
      <c r="D636" s="98" t="s">
        <v>613</v>
      </c>
      <c r="E636" s="98" t="s">
        <v>25</v>
      </c>
      <c r="F636" s="99">
        <f>F637</f>
        <v>4</v>
      </c>
      <c r="G636" s="673"/>
      <c r="H636" s="100">
        <f>F636*G636</f>
        <v>0</v>
      </c>
      <c r="J636" s="101"/>
    </row>
    <row r="637" spans="1:10" s="104" customFormat="1" ht="27" customHeight="1">
      <c r="A637" s="97"/>
      <c r="B637" s="98"/>
      <c r="C637" s="98"/>
      <c r="D637" s="102" t="s">
        <v>614</v>
      </c>
      <c r="E637" s="98"/>
      <c r="F637" s="103">
        <v>4</v>
      </c>
      <c r="G637" s="673"/>
      <c r="H637" s="100"/>
      <c r="J637" s="101"/>
    </row>
    <row r="638" spans="1:10" s="104" customFormat="1" ht="13.5" customHeight="1">
      <c r="A638" s="97">
        <v>252</v>
      </c>
      <c r="B638" s="98">
        <v>767</v>
      </c>
      <c r="C638" s="98">
        <v>767712812</v>
      </c>
      <c r="D638" s="98" t="s">
        <v>615</v>
      </c>
      <c r="E638" s="98" t="s">
        <v>48</v>
      </c>
      <c r="F638" s="99">
        <f>F639</f>
        <v>239.4</v>
      </c>
      <c r="G638" s="673"/>
      <c r="H638" s="100">
        <f>F638*G638</f>
        <v>0</v>
      </c>
      <c r="J638" s="101"/>
    </row>
    <row r="639" spans="1:10" s="104" customFormat="1" ht="40.5" customHeight="1">
      <c r="A639" s="97"/>
      <c r="B639" s="98"/>
      <c r="C639" s="98"/>
      <c r="D639" s="102" t="s">
        <v>616</v>
      </c>
      <c r="E639" s="98"/>
      <c r="F639" s="103">
        <v>239.4</v>
      </c>
      <c r="G639" s="673"/>
      <c r="H639" s="100"/>
      <c r="J639" s="101"/>
    </row>
    <row r="640" spans="1:12" s="104" customFormat="1" ht="27" customHeight="1">
      <c r="A640" s="97">
        <v>254</v>
      </c>
      <c r="B640" s="98">
        <v>766</v>
      </c>
      <c r="C640" s="98" t="s">
        <v>617</v>
      </c>
      <c r="D640" s="98" t="s">
        <v>618</v>
      </c>
      <c r="E640" s="98" t="s">
        <v>25</v>
      </c>
      <c r="F640" s="99">
        <f>F641</f>
        <v>1</v>
      </c>
      <c r="G640" s="673"/>
      <c r="H640" s="100">
        <f>F640*G640</f>
        <v>0</v>
      </c>
      <c r="I640" s="114"/>
      <c r="J640" s="123"/>
      <c r="K640" s="114"/>
      <c r="L640" s="114"/>
    </row>
    <row r="641" spans="1:10" s="114" customFormat="1" ht="13.5" customHeight="1">
      <c r="A641" s="111"/>
      <c r="B641" s="102"/>
      <c r="C641" s="102"/>
      <c r="D641" s="102" t="s">
        <v>619</v>
      </c>
      <c r="E641" s="102"/>
      <c r="F641" s="112">
        <v>1</v>
      </c>
      <c r="G641" s="677"/>
      <c r="H641" s="113"/>
      <c r="J641" s="117"/>
    </row>
    <row r="642" spans="1:10" s="114" customFormat="1" ht="13.5" customHeight="1">
      <c r="A642" s="111"/>
      <c r="B642" s="102"/>
      <c r="C642" s="102"/>
      <c r="D642" s="102" t="s">
        <v>564</v>
      </c>
      <c r="E642" s="102"/>
      <c r="F642" s="112"/>
      <c r="G642" s="677"/>
      <c r="H642" s="113"/>
      <c r="J642" s="117"/>
    </row>
    <row r="643" spans="1:12" s="104" customFormat="1" ht="13.5" customHeight="1">
      <c r="A643" s="97">
        <v>255</v>
      </c>
      <c r="B643" s="98">
        <v>766</v>
      </c>
      <c r="C643" s="98" t="s">
        <v>620</v>
      </c>
      <c r="D643" s="98" t="s">
        <v>621</v>
      </c>
      <c r="E643" s="98" t="s">
        <v>25</v>
      </c>
      <c r="F643" s="99">
        <f>F644</f>
        <v>4</v>
      </c>
      <c r="G643" s="673"/>
      <c r="H643" s="100">
        <f>F643*G643</f>
        <v>0</v>
      </c>
      <c r="I643" s="114"/>
      <c r="J643" s="123"/>
      <c r="K643" s="114"/>
      <c r="L643" s="114"/>
    </row>
    <row r="644" spans="1:10" s="114" customFormat="1" ht="13.5" customHeight="1">
      <c r="A644" s="111"/>
      <c r="B644" s="102"/>
      <c r="C644" s="102"/>
      <c r="D644" s="102" t="s">
        <v>622</v>
      </c>
      <c r="E644" s="102"/>
      <c r="F644" s="112">
        <v>4</v>
      </c>
      <c r="G644" s="677"/>
      <c r="H644" s="113"/>
      <c r="J644" s="117"/>
    </row>
    <row r="645" spans="1:10" s="114" customFormat="1" ht="13.5" customHeight="1">
      <c r="A645" s="111"/>
      <c r="B645" s="102"/>
      <c r="C645" s="102"/>
      <c r="D645" s="102" t="s">
        <v>564</v>
      </c>
      <c r="E645" s="102"/>
      <c r="F645" s="112"/>
      <c r="G645" s="677"/>
      <c r="H645" s="113"/>
      <c r="J645" s="117"/>
    </row>
    <row r="646" spans="1:12" s="104" customFormat="1" ht="27" customHeight="1">
      <c r="A646" s="97">
        <v>256</v>
      </c>
      <c r="B646" s="98">
        <v>766</v>
      </c>
      <c r="C646" s="98" t="s">
        <v>623</v>
      </c>
      <c r="D646" s="98" t="s">
        <v>624</v>
      </c>
      <c r="E646" s="98" t="s">
        <v>25</v>
      </c>
      <c r="F646" s="99">
        <f>F647</f>
        <v>29</v>
      </c>
      <c r="G646" s="673"/>
      <c r="H646" s="100">
        <f>F646*G646</f>
        <v>0</v>
      </c>
      <c r="I646" s="114"/>
      <c r="J646" s="123"/>
      <c r="K646" s="114"/>
      <c r="L646" s="114"/>
    </row>
    <row r="647" spans="1:10" s="114" customFormat="1" ht="13.5" customHeight="1">
      <c r="A647" s="111"/>
      <c r="B647" s="102"/>
      <c r="C647" s="102"/>
      <c r="D647" s="102" t="s">
        <v>625</v>
      </c>
      <c r="E647" s="102"/>
      <c r="F647" s="112">
        <v>29</v>
      </c>
      <c r="G647" s="677"/>
      <c r="H647" s="113"/>
      <c r="J647" s="117"/>
    </row>
    <row r="648" spans="1:10" s="114" customFormat="1" ht="13.5" customHeight="1">
      <c r="A648" s="111"/>
      <c r="B648" s="102"/>
      <c r="C648" s="102"/>
      <c r="D648" s="102" t="s">
        <v>564</v>
      </c>
      <c r="E648" s="102"/>
      <c r="F648" s="112"/>
      <c r="G648" s="677"/>
      <c r="H648" s="113"/>
      <c r="J648" s="117"/>
    </row>
    <row r="649" spans="1:12" s="104" customFormat="1" ht="27" customHeight="1">
      <c r="A649" s="97">
        <v>257</v>
      </c>
      <c r="B649" s="98">
        <v>766</v>
      </c>
      <c r="C649" s="98" t="s">
        <v>626</v>
      </c>
      <c r="D649" s="98" t="s">
        <v>627</v>
      </c>
      <c r="E649" s="98" t="s">
        <v>25</v>
      </c>
      <c r="F649" s="99">
        <f>F650</f>
        <v>6</v>
      </c>
      <c r="G649" s="673"/>
      <c r="H649" s="100">
        <f>F649*G649</f>
        <v>0</v>
      </c>
      <c r="I649" s="114"/>
      <c r="J649" s="123"/>
      <c r="K649" s="114"/>
      <c r="L649" s="114"/>
    </row>
    <row r="650" spans="1:10" s="114" customFormat="1" ht="13.5" customHeight="1">
      <c r="A650" s="111"/>
      <c r="B650" s="102"/>
      <c r="C650" s="102"/>
      <c r="D650" s="102" t="s">
        <v>628</v>
      </c>
      <c r="E650" s="102"/>
      <c r="F650" s="112">
        <v>6</v>
      </c>
      <c r="G650" s="677"/>
      <c r="H650" s="113"/>
      <c r="J650" s="117"/>
    </row>
    <row r="651" spans="1:10" s="114" customFormat="1" ht="13.5" customHeight="1">
      <c r="A651" s="111"/>
      <c r="B651" s="102"/>
      <c r="C651" s="102"/>
      <c r="D651" s="102" t="s">
        <v>564</v>
      </c>
      <c r="E651" s="102"/>
      <c r="F651" s="112"/>
      <c r="G651" s="677"/>
      <c r="H651" s="113"/>
      <c r="J651" s="117"/>
    </row>
    <row r="652" spans="1:12" s="104" customFormat="1" ht="13.5" customHeight="1">
      <c r="A652" s="97">
        <v>258</v>
      </c>
      <c r="B652" s="98">
        <v>766</v>
      </c>
      <c r="C652" s="98" t="s">
        <v>629</v>
      </c>
      <c r="D652" s="98" t="s">
        <v>630</v>
      </c>
      <c r="E652" s="98" t="s">
        <v>25</v>
      </c>
      <c r="F652" s="99">
        <f>F653</f>
        <v>8</v>
      </c>
      <c r="G652" s="673"/>
      <c r="H652" s="100">
        <f>F652*G652</f>
        <v>0</v>
      </c>
      <c r="I652" s="114"/>
      <c r="J652" s="123"/>
      <c r="K652" s="114"/>
      <c r="L652" s="114"/>
    </row>
    <row r="653" spans="1:10" s="114" customFormat="1" ht="27" customHeight="1">
      <c r="A653" s="111"/>
      <c r="B653" s="102"/>
      <c r="C653" s="102"/>
      <c r="D653" s="102" t="s">
        <v>631</v>
      </c>
      <c r="E653" s="102"/>
      <c r="F653" s="112">
        <v>8</v>
      </c>
      <c r="G653" s="677"/>
      <c r="H653" s="113"/>
      <c r="J653" s="117"/>
    </row>
    <row r="654" spans="1:10" s="114" customFormat="1" ht="13.5" customHeight="1">
      <c r="A654" s="111"/>
      <c r="B654" s="102"/>
      <c r="C654" s="102"/>
      <c r="D654" s="102" t="s">
        <v>564</v>
      </c>
      <c r="E654" s="102"/>
      <c r="F654" s="112"/>
      <c r="G654" s="677"/>
      <c r="H654" s="113"/>
      <c r="J654" s="117"/>
    </row>
    <row r="655" spans="1:12" s="104" customFormat="1" ht="13.5" customHeight="1">
      <c r="A655" s="97">
        <v>259</v>
      </c>
      <c r="B655" s="98">
        <v>766</v>
      </c>
      <c r="C655" s="98" t="s">
        <v>632</v>
      </c>
      <c r="D655" s="98" t="s">
        <v>633</v>
      </c>
      <c r="E655" s="98" t="s">
        <v>25</v>
      </c>
      <c r="F655" s="99">
        <f>F656</f>
        <v>1</v>
      </c>
      <c r="G655" s="673"/>
      <c r="H655" s="100">
        <f>F655*G655</f>
        <v>0</v>
      </c>
      <c r="I655" s="114"/>
      <c r="J655" s="123"/>
      <c r="K655" s="114"/>
      <c r="L655" s="114"/>
    </row>
    <row r="656" spans="1:10" s="114" customFormat="1" ht="27" customHeight="1">
      <c r="A656" s="111"/>
      <c r="B656" s="102"/>
      <c r="C656" s="102"/>
      <c r="D656" s="102" t="s">
        <v>631</v>
      </c>
      <c r="E656" s="102"/>
      <c r="F656" s="112">
        <v>1</v>
      </c>
      <c r="G656" s="677"/>
      <c r="H656" s="113"/>
      <c r="J656" s="117"/>
    </row>
    <row r="657" spans="1:10" s="114" customFormat="1" ht="13.5" customHeight="1">
      <c r="A657" s="111"/>
      <c r="B657" s="102"/>
      <c r="C657" s="102"/>
      <c r="D657" s="102" t="s">
        <v>564</v>
      </c>
      <c r="E657" s="102"/>
      <c r="F657" s="112"/>
      <c r="G657" s="677"/>
      <c r="H657" s="113"/>
      <c r="J657" s="117"/>
    </row>
    <row r="658" spans="1:12" s="104" customFormat="1" ht="13.5" customHeight="1">
      <c r="A658" s="97">
        <v>260</v>
      </c>
      <c r="B658" s="98">
        <v>766</v>
      </c>
      <c r="C658" s="98" t="s">
        <v>634</v>
      </c>
      <c r="D658" s="98" t="s">
        <v>635</v>
      </c>
      <c r="E658" s="98" t="s">
        <v>25</v>
      </c>
      <c r="F658" s="99">
        <f>F659</f>
        <v>4</v>
      </c>
      <c r="G658" s="673"/>
      <c r="H658" s="100">
        <f>F658*G658</f>
        <v>0</v>
      </c>
      <c r="I658" s="114"/>
      <c r="J658" s="123"/>
      <c r="K658" s="114"/>
      <c r="L658" s="114"/>
    </row>
    <row r="659" spans="1:10" s="114" customFormat="1" ht="13.5" customHeight="1">
      <c r="A659" s="111"/>
      <c r="B659" s="102"/>
      <c r="C659" s="102"/>
      <c r="D659" s="102" t="s">
        <v>636</v>
      </c>
      <c r="E659" s="102"/>
      <c r="F659" s="112">
        <v>4</v>
      </c>
      <c r="G659" s="677"/>
      <c r="H659" s="113"/>
      <c r="J659" s="117"/>
    </row>
    <row r="660" spans="1:10" s="114" customFormat="1" ht="13.5" customHeight="1">
      <c r="A660" s="111"/>
      <c r="B660" s="102"/>
      <c r="C660" s="102"/>
      <c r="D660" s="102" t="s">
        <v>564</v>
      </c>
      <c r="E660" s="102"/>
      <c r="F660" s="112"/>
      <c r="G660" s="677"/>
      <c r="H660" s="113"/>
      <c r="J660" s="117"/>
    </row>
    <row r="661" spans="1:12" s="104" customFormat="1" ht="13.5" customHeight="1">
      <c r="A661" s="97">
        <v>261</v>
      </c>
      <c r="B661" s="98">
        <v>766</v>
      </c>
      <c r="C661" s="98" t="s">
        <v>637</v>
      </c>
      <c r="D661" s="98" t="s">
        <v>638</v>
      </c>
      <c r="E661" s="98" t="s">
        <v>25</v>
      </c>
      <c r="F661" s="99">
        <f>F662</f>
        <v>29</v>
      </c>
      <c r="G661" s="673"/>
      <c r="H661" s="100">
        <f>F661*G661</f>
        <v>0</v>
      </c>
      <c r="I661" s="114"/>
      <c r="J661" s="123"/>
      <c r="K661" s="114"/>
      <c r="L661" s="114"/>
    </row>
    <row r="662" spans="1:10" s="114" customFormat="1" ht="13.5" customHeight="1">
      <c r="A662" s="111"/>
      <c r="B662" s="102"/>
      <c r="C662" s="102"/>
      <c r="D662" s="102" t="s">
        <v>639</v>
      </c>
      <c r="E662" s="102"/>
      <c r="F662" s="112">
        <v>29</v>
      </c>
      <c r="G662" s="677"/>
      <c r="H662" s="113"/>
      <c r="J662" s="117"/>
    </row>
    <row r="663" spans="1:10" s="114" customFormat="1" ht="13.5" customHeight="1">
      <c r="A663" s="111"/>
      <c r="B663" s="102"/>
      <c r="C663" s="102"/>
      <c r="D663" s="102" t="s">
        <v>564</v>
      </c>
      <c r="E663" s="102"/>
      <c r="F663" s="112"/>
      <c r="G663" s="677"/>
      <c r="H663" s="113"/>
      <c r="J663" s="117"/>
    </row>
    <row r="664" spans="1:12" s="104" customFormat="1" ht="13.5" customHeight="1">
      <c r="A664" s="97">
        <v>262</v>
      </c>
      <c r="B664" s="98">
        <v>766</v>
      </c>
      <c r="C664" s="98" t="s">
        <v>640</v>
      </c>
      <c r="D664" s="98" t="s">
        <v>641</v>
      </c>
      <c r="E664" s="98" t="s">
        <v>25</v>
      </c>
      <c r="F664" s="99">
        <f>F665</f>
        <v>6</v>
      </c>
      <c r="G664" s="673"/>
      <c r="H664" s="100">
        <f>F664*G664</f>
        <v>0</v>
      </c>
      <c r="I664" s="114"/>
      <c r="J664" s="123"/>
      <c r="K664" s="114"/>
      <c r="L664" s="114"/>
    </row>
    <row r="665" spans="1:10" s="114" customFormat="1" ht="13.5" customHeight="1">
      <c r="A665" s="111"/>
      <c r="B665" s="102"/>
      <c r="C665" s="102"/>
      <c r="D665" s="102" t="s">
        <v>642</v>
      </c>
      <c r="E665" s="102"/>
      <c r="F665" s="112">
        <v>6</v>
      </c>
      <c r="G665" s="677"/>
      <c r="H665" s="113"/>
      <c r="J665" s="117"/>
    </row>
    <row r="666" spans="1:10" s="114" customFormat="1" ht="13.5" customHeight="1">
      <c r="A666" s="111"/>
      <c r="B666" s="102"/>
      <c r="C666" s="102"/>
      <c r="D666" s="102" t="s">
        <v>564</v>
      </c>
      <c r="E666" s="102"/>
      <c r="F666" s="112"/>
      <c r="G666" s="677"/>
      <c r="H666" s="113"/>
      <c r="J666" s="117"/>
    </row>
    <row r="667" spans="1:12" s="104" customFormat="1" ht="27" customHeight="1">
      <c r="A667" s="97">
        <v>263</v>
      </c>
      <c r="B667" s="98">
        <v>766</v>
      </c>
      <c r="C667" s="98" t="s">
        <v>506</v>
      </c>
      <c r="D667" s="98" t="s">
        <v>643</v>
      </c>
      <c r="E667" s="98" t="s">
        <v>25</v>
      </c>
      <c r="F667" s="99">
        <f>F668</f>
        <v>1</v>
      </c>
      <c r="G667" s="673"/>
      <c r="H667" s="100">
        <f>F667*G667</f>
        <v>0</v>
      </c>
      <c r="I667" s="114"/>
      <c r="J667" s="123"/>
      <c r="K667" s="114"/>
      <c r="L667" s="114"/>
    </row>
    <row r="668" spans="1:10" s="104" customFormat="1" ht="13.5" customHeight="1">
      <c r="A668" s="111"/>
      <c r="B668" s="102"/>
      <c r="C668" s="102"/>
      <c r="D668" s="102" t="s">
        <v>644</v>
      </c>
      <c r="E668" s="102"/>
      <c r="F668" s="112">
        <v>1</v>
      </c>
      <c r="G668" s="677"/>
      <c r="H668" s="113"/>
      <c r="I668" s="114"/>
      <c r="J668" s="117"/>
    </row>
    <row r="669" spans="1:12" s="104" customFormat="1" ht="13.5" customHeight="1">
      <c r="A669" s="97">
        <v>264</v>
      </c>
      <c r="B669" s="98">
        <v>766</v>
      </c>
      <c r="C669" s="98" t="s">
        <v>645</v>
      </c>
      <c r="D669" s="98" t="s">
        <v>646</v>
      </c>
      <c r="E669" s="98" t="s">
        <v>25</v>
      </c>
      <c r="F669" s="99">
        <f>F670</f>
        <v>2</v>
      </c>
      <c r="G669" s="673"/>
      <c r="H669" s="100">
        <f>F669*G669</f>
        <v>0</v>
      </c>
      <c r="I669" s="114"/>
      <c r="J669" s="123"/>
      <c r="K669" s="114"/>
      <c r="L669" s="114"/>
    </row>
    <row r="670" spans="1:10" s="114" customFormat="1" ht="13.5" customHeight="1">
      <c r="A670" s="111"/>
      <c r="B670" s="102"/>
      <c r="C670" s="102"/>
      <c r="D670" s="102" t="s">
        <v>647</v>
      </c>
      <c r="E670" s="102"/>
      <c r="F670" s="112">
        <v>2</v>
      </c>
      <c r="G670" s="677"/>
      <c r="H670" s="113"/>
      <c r="J670" s="117"/>
    </row>
    <row r="671" spans="1:12" s="104" customFormat="1" ht="13.5" customHeight="1">
      <c r="A671" s="97">
        <v>265</v>
      </c>
      <c r="B671" s="98">
        <v>766</v>
      </c>
      <c r="C671" s="98" t="s">
        <v>654</v>
      </c>
      <c r="D671" s="98" t="s">
        <v>655</v>
      </c>
      <c r="E671" s="98" t="s">
        <v>25</v>
      </c>
      <c r="F671" s="99">
        <f>F672</f>
        <v>133</v>
      </c>
      <c r="G671" s="673"/>
      <c r="H671" s="100">
        <f>F671*G671</f>
        <v>0</v>
      </c>
      <c r="I671" s="114"/>
      <c r="J671" s="123"/>
      <c r="K671" s="114"/>
      <c r="L671" s="114"/>
    </row>
    <row r="672" spans="1:10" s="114" customFormat="1" ht="13.5" customHeight="1">
      <c r="A672" s="111"/>
      <c r="B672" s="102"/>
      <c r="C672" s="102"/>
      <c r="D672" s="102" t="s">
        <v>656</v>
      </c>
      <c r="E672" s="102"/>
      <c r="F672" s="112">
        <v>133</v>
      </c>
      <c r="G672" s="677"/>
      <c r="H672" s="113"/>
      <c r="J672" s="117"/>
    </row>
    <row r="673" spans="1:10" s="114" customFormat="1" ht="13.5" customHeight="1">
      <c r="A673" s="111"/>
      <c r="B673" s="102"/>
      <c r="C673" s="102"/>
      <c r="D673" s="102" t="s">
        <v>564</v>
      </c>
      <c r="E673" s="102"/>
      <c r="F673" s="112"/>
      <c r="G673" s="677"/>
      <c r="H673" s="113"/>
      <c r="J673" s="117"/>
    </row>
    <row r="674" spans="1:12" s="104" customFormat="1" ht="13.5" customHeight="1">
      <c r="A674" s="97">
        <v>266</v>
      </c>
      <c r="B674" s="98">
        <v>766</v>
      </c>
      <c r="C674" s="98" t="s">
        <v>660</v>
      </c>
      <c r="D674" s="98" t="s">
        <v>661</v>
      </c>
      <c r="E674" s="98" t="s">
        <v>25</v>
      </c>
      <c r="F674" s="99">
        <f>F675</f>
        <v>119</v>
      </c>
      <c r="G674" s="673"/>
      <c r="H674" s="100">
        <f>F674*G674</f>
        <v>0</v>
      </c>
      <c r="I674" s="114"/>
      <c r="J674" s="123"/>
      <c r="K674" s="114"/>
      <c r="L674" s="114"/>
    </row>
    <row r="675" spans="1:10" s="114" customFormat="1" ht="27" customHeight="1">
      <c r="A675" s="111"/>
      <c r="B675" s="102"/>
      <c r="C675" s="102"/>
      <c r="D675" s="102" t="s">
        <v>662</v>
      </c>
      <c r="E675" s="102"/>
      <c r="F675" s="112">
        <v>119</v>
      </c>
      <c r="G675" s="677"/>
      <c r="H675" s="113"/>
      <c r="J675" s="117"/>
    </row>
    <row r="676" spans="1:10" s="114" customFormat="1" ht="13.5" customHeight="1">
      <c r="A676" s="111"/>
      <c r="B676" s="102"/>
      <c r="C676" s="102"/>
      <c r="D676" s="102" t="s">
        <v>564</v>
      </c>
      <c r="E676" s="102"/>
      <c r="F676" s="112"/>
      <c r="G676" s="677"/>
      <c r="H676" s="113"/>
      <c r="J676" s="117"/>
    </row>
    <row r="677" spans="1:12" s="104" customFormat="1" ht="13.5" customHeight="1">
      <c r="A677" s="97">
        <v>267</v>
      </c>
      <c r="B677" s="98">
        <v>766</v>
      </c>
      <c r="C677" s="98" t="s">
        <v>663</v>
      </c>
      <c r="D677" s="98" t="s">
        <v>664</v>
      </c>
      <c r="E677" s="98" t="s">
        <v>25</v>
      </c>
      <c r="F677" s="99">
        <f>F678</f>
        <v>5</v>
      </c>
      <c r="G677" s="673"/>
      <c r="H677" s="100">
        <f>F677*G677</f>
        <v>0</v>
      </c>
      <c r="I677" s="114"/>
      <c r="J677" s="123"/>
      <c r="K677" s="114"/>
      <c r="L677" s="114"/>
    </row>
    <row r="678" spans="1:10" s="114" customFormat="1" ht="27" customHeight="1">
      <c r="A678" s="111"/>
      <c r="B678" s="102"/>
      <c r="C678" s="102"/>
      <c r="D678" s="102" t="s">
        <v>662</v>
      </c>
      <c r="E678" s="102"/>
      <c r="F678" s="112">
        <v>5</v>
      </c>
      <c r="G678" s="677"/>
      <c r="H678" s="113"/>
      <c r="J678" s="117"/>
    </row>
    <row r="679" spans="1:10" s="114" customFormat="1" ht="13.5" customHeight="1">
      <c r="A679" s="111"/>
      <c r="B679" s="102"/>
      <c r="C679" s="102"/>
      <c r="D679" s="102" t="s">
        <v>564</v>
      </c>
      <c r="E679" s="102"/>
      <c r="F679" s="112"/>
      <c r="G679" s="677"/>
      <c r="H679" s="113"/>
      <c r="J679" s="117"/>
    </row>
    <row r="680" spans="1:12" s="104" customFormat="1" ht="13.5" customHeight="1">
      <c r="A680" s="97">
        <v>268</v>
      </c>
      <c r="B680" s="98">
        <v>766</v>
      </c>
      <c r="C680" s="98" t="s">
        <v>665</v>
      </c>
      <c r="D680" s="98" t="s">
        <v>666</v>
      </c>
      <c r="E680" s="98" t="s">
        <v>25</v>
      </c>
      <c r="F680" s="99">
        <f>F681</f>
        <v>62</v>
      </c>
      <c r="G680" s="673"/>
      <c r="H680" s="100">
        <f>F680*G680</f>
        <v>0</v>
      </c>
      <c r="I680" s="114"/>
      <c r="J680" s="123"/>
      <c r="K680" s="114"/>
      <c r="L680" s="114"/>
    </row>
    <row r="681" spans="1:10" s="114" customFormat="1" ht="27" customHeight="1">
      <c r="A681" s="111"/>
      <c r="B681" s="102"/>
      <c r="C681" s="102"/>
      <c r="D681" s="102" t="s">
        <v>662</v>
      </c>
      <c r="E681" s="102"/>
      <c r="F681" s="112">
        <v>62</v>
      </c>
      <c r="G681" s="677"/>
      <c r="H681" s="113"/>
      <c r="J681" s="117"/>
    </row>
    <row r="682" spans="1:10" s="114" customFormat="1" ht="13.5" customHeight="1">
      <c r="A682" s="111"/>
      <c r="B682" s="102"/>
      <c r="C682" s="102"/>
      <c r="D682" s="102" t="s">
        <v>564</v>
      </c>
      <c r="E682" s="102"/>
      <c r="F682" s="112"/>
      <c r="G682" s="677"/>
      <c r="H682" s="113"/>
      <c r="J682" s="117"/>
    </row>
    <row r="683" spans="1:12" s="104" customFormat="1" ht="13.5" customHeight="1">
      <c r="A683" s="97">
        <v>269</v>
      </c>
      <c r="B683" s="98">
        <v>766</v>
      </c>
      <c r="C683" s="98" t="s">
        <v>667</v>
      </c>
      <c r="D683" s="98" t="s">
        <v>668</v>
      </c>
      <c r="E683" s="98" t="s">
        <v>25</v>
      </c>
      <c r="F683" s="99">
        <f>F684</f>
        <v>6</v>
      </c>
      <c r="G683" s="673"/>
      <c r="H683" s="100">
        <f>F683*G683</f>
        <v>0</v>
      </c>
      <c r="I683" s="114"/>
      <c r="J683" s="123"/>
      <c r="K683" s="114"/>
      <c r="L683" s="114"/>
    </row>
    <row r="684" spans="1:10" s="114" customFormat="1" ht="27" customHeight="1">
      <c r="A684" s="111"/>
      <c r="B684" s="102"/>
      <c r="C684" s="102"/>
      <c r="D684" s="102" t="s">
        <v>662</v>
      </c>
      <c r="E684" s="102"/>
      <c r="F684" s="112">
        <v>6</v>
      </c>
      <c r="G684" s="677"/>
      <c r="H684" s="113"/>
      <c r="J684" s="117"/>
    </row>
    <row r="685" spans="1:10" s="114" customFormat="1" ht="13.5" customHeight="1">
      <c r="A685" s="111"/>
      <c r="B685" s="102"/>
      <c r="C685" s="102"/>
      <c r="D685" s="102" t="s">
        <v>564</v>
      </c>
      <c r="E685" s="102"/>
      <c r="F685" s="112"/>
      <c r="G685" s="677"/>
      <c r="H685" s="113"/>
      <c r="J685" s="117"/>
    </row>
    <row r="686" spans="1:12" s="104" customFormat="1" ht="13.5" customHeight="1">
      <c r="A686" s="97">
        <v>270</v>
      </c>
      <c r="B686" s="98">
        <v>766</v>
      </c>
      <c r="C686" s="98" t="s">
        <v>669</v>
      </c>
      <c r="D686" s="98" t="s">
        <v>670</v>
      </c>
      <c r="E686" s="98" t="s">
        <v>25</v>
      </c>
      <c r="F686" s="99">
        <f>F687</f>
        <v>1</v>
      </c>
      <c r="G686" s="673"/>
      <c r="H686" s="100">
        <f>F686*G686</f>
        <v>0</v>
      </c>
      <c r="I686" s="114"/>
      <c r="J686" s="123"/>
      <c r="K686" s="114"/>
      <c r="L686" s="114"/>
    </row>
    <row r="687" spans="1:10" s="114" customFormat="1" ht="13.5" customHeight="1">
      <c r="A687" s="111"/>
      <c r="B687" s="102"/>
      <c r="C687" s="102"/>
      <c r="D687" s="102" t="s">
        <v>671</v>
      </c>
      <c r="E687" s="102"/>
      <c r="F687" s="112">
        <v>1</v>
      </c>
      <c r="G687" s="677"/>
      <c r="H687" s="113"/>
      <c r="J687" s="117"/>
    </row>
    <row r="688" spans="1:10" s="114" customFormat="1" ht="13.5" customHeight="1">
      <c r="A688" s="111"/>
      <c r="B688" s="102"/>
      <c r="C688" s="102"/>
      <c r="D688" s="102" t="s">
        <v>564</v>
      </c>
      <c r="E688" s="102"/>
      <c r="F688" s="112"/>
      <c r="G688" s="677"/>
      <c r="H688" s="113"/>
      <c r="J688" s="117"/>
    </row>
    <row r="689" spans="1:12" s="104" customFormat="1" ht="13.5" customHeight="1">
      <c r="A689" s="97">
        <v>271</v>
      </c>
      <c r="B689" s="98">
        <v>766</v>
      </c>
      <c r="C689" s="98" t="s">
        <v>672</v>
      </c>
      <c r="D689" s="98" t="s">
        <v>673</v>
      </c>
      <c r="E689" s="98" t="s">
        <v>25</v>
      </c>
      <c r="F689" s="99">
        <f>F690</f>
        <v>4</v>
      </c>
      <c r="G689" s="673"/>
      <c r="H689" s="100">
        <f>F689*G689</f>
        <v>0</v>
      </c>
      <c r="I689" s="114"/>
      <c r="J689" s="123"/>
      <c r="K689" s="114"/>
      <c r="L689" s="114"/>
    </row>
    <row r="690" spans="1:10" s="114" customFormat="1" ht="27" customHeight="1">
      <c r="A690" s="111"/>
      <c r="B690" s="102"/>
      <c r="C690" s="102"/>
      <c r="D690" s="102" t="s">
        <v>662</v>
      </c>
      <c r="E690" s="102"/>
      <c r="F690" s="112">
        <v>4</v>
      </c>
      <c r="G690" s="677"/>
      <c r="H690" s="113"/>
      <c r="J690" s="117"/>
    </row>
    <row r="691" spans="1:10" s="114" customFormat="1" ht="13.5" customHeight="1">
      <c r="A691" s="111"/>
      <c r="B691" s="102"/>
      <c r="C691" s="102"/>
      <c r="D691" s="102" t="s">
        <v>564</v>
      </c>
      <c r="E691" s="102"/>
      <c r="F691" s="112"/>
      <c r="G691" s="677"/>
      <c r="H691" s="113"/>
      <c r="J691" s="117"/>
    </row>
    <row r="692" spans="1:12" s="104" customFormat="1" ht="13.5" customHeight="1">
      <c r="A692" s="97">
        <v>272</v>
      </c>
      <c r="B692" s="98">
        <v>766</v>
      </c>
      <c r="C692" s="98" t="s">
        <v>674</v>
      </c>
      <c r="D692" s="98" t="s">
        <v>675</v>
      </c>
      <c r="E692" s="98" t="s">
        <v>25</v>
      </c>
      <c r="F692" s="99">
        <f>F693</f>
        <v>1</v>
      </c>
      <c r="G692" s="673"/>
      <c r="H692" s="100">
        <f>F692*G692</f>
        <v>0</v>
      </c>
      <c r="I692" s="114"/>
      <c r="J692" s="123"/>
      <c r="K692" s="114"/>
      <c r="L692" s="114"/>
    </row>
    <row r="693" spans="1:10" s="114" customFormat="1" ht="27" customHeight="1">
      <c r="A693" s="111"/>
      <c r="B693" s="102"/>
      <c r="C693" s="102"/>
      <c r="D693" s="102" t="s">
        <v>662</v>
      </c>
      <c r="E693" s="102"/>
      <c r="F693" s="112">
        <v>1</v>
      </c>
      <c r="G693" s="677"/>
      <c r="H693" s="113"/>
      <c r="J693" s="117"/>
    </row>
    <row r="694" spans="1:10" s="114" customFormat="1" ht="13.5" customHeight="1">
      <c r="A694" s="111"/>
      <c r="B694" s="102"/>
      <c r="C694" s="102"/>
      <c r="D694" s="102" t="s">
        <v>564</v>
      </c>
      <c r="E694" s="102"/>
      <c r="F694" s="112"/>
      <c r="G694" s="677"/>
      <c r="H694" s="113"/>
      <c r="J694" s="117"/>
    </row>
    <row r="695" spans="1:12" s="104" customFormat="1" ht="13.5" customHeight="1">
      <c r="A695" s="97">
        <v>273</v>
      </c>
      <c r="B695" s="98">
        <v>766</v>
      </c>
      <c r="C695" s="98" t="s">
        <v>676</v>
      </c>
      <c r="D695" s="98" t="s">
        <v>677</v>
      </c>
      <c r="E695" s="98" t="s">
        <v>25</v>
      </c>
      <c r="F695" s="99">
        <f>F696</f>
        <v>13</v>
      </c>
      <c r="G695" s="673"/>
      <c r="H695" s="100">
        <f>F695*G695</f>
        <v>0</v>
      </c>
      <c r="I695" s="114"/>
      <c r="J695" s="123"/>
      <c r="K695" s="114"/>
      <c r="L695" s="114"/>
    </row>
    <row r="696" spans="1:10" s="114" customFormat="1" ht="13.5" customHeight="1">
      <c r="A696" s="111"/>
      <c r="B696" s="102"/>
      <c r="C696" s="102"/>
      <c r="D696" s="102" t="s">
        <v>671</v>
      </c>
      <c r="E696" s="102"/>
      <c r="F696" s="112">
        <v>13</v>
      </c>
      <c r="G696" s="677"/>
      <c r="H696" s="113"/>
      <c r="J696" s="117"/>
    </row>
    <row r="697" spans="1:10" s="114" customFormat="1" ht="13.5" customHeight="1">
      <c r="A697" s="111"/>
      <c r="B697" s="102"/>
      <c r="C697" s="102"/>
      <c r="D697" s="102" t="s">
        <v>564</v>
      </c>
      <c r="E697" s="102"/>
      <c r="F697" s="112"/>
      <c r="G697" s="677"/>
      <c r="H697" s="113"/>
      <c r="J697" s="117"/>
    </row>
    <row r="698" spans="1:12" s="104" customFormat="1" ht="13.5" customHeight="1">
      <c r="A698" s="97">
        <v>274</v>
      </c>
      <c r="B698" s="98">
        <v>766</v>
      </c>
      <c r="C698" s="98" t="s">
        <v>678</v>
      </c>
      <c r="D698" s="98" t="s">
        <v>679</v>
      </c>
      <c r="E698" s="98" t="s">
        <v>25</v>
      </c>
      <c r="F698" s="99">
        <f>F699</f>
        <v>3</v>
      </c>
      <c r="G698" s="673"/>
      <c r="H698" s="100">
        <f>F698*G698</f>
        <v>0</v>
      </c>
      <c r="I698" s="114"/>
      <c r="J698" s="123"/>
      <c r="K698" s="114"/>
      <c r="L698" s="114"/>
    </row>
    <row r="699" spans="1:10" s="114" customFormat="1" ht="13.5" customHeight="1">
      <c r="A699" s="111"/>
      <c r="B699" s="102"/>
      <c r="C699" s="102"/>
      <c r="D699" s="102" t="s">
        <v>680</v>
      </c>
      <c r="E699" s="102"/>
      <c r="F699" s="112">
        <v>3</v>
      </c>
      <c r="G699" s="677"/>
      <c r="H699" s="113"/>
      <c r="J699" s="117"/>
    </row>
    <row r="700" spans="1:10" s="114" customFormat="1" ht="13.5" customHeight="1">
      <c r="A700" s="111"/>
      <c r="B700" s="102"/>
      <c r="C700" s="102"/>
      <c r="D700" s="102" t="s">
        <v>681</v>
      </c>
      <c r="E700" s="102"/>
      <c r="F700" s="112"/>
      <c r="G700" s="677"/>
      <c r="H700" s="113"/>
      <c r="J700" s="117"/>
    </row>
    <row r="701" spans="1:10" s="114" customFormat="1" ht="13.5" customHeight="1">
      <c r="A701" s="111"/>
      <c r="B701" s="102"/>
      <c r="C701" s="102"/>
      <c r="D701" s="102" t="s">
        <v>564</v>
      </c>
      <c r="E701" s="102"/>
      <c r="F701" s="112"/>
      <c r="G701" s="677"/>
      <c r="H701" s="113"/>
      <c r="J701" s="117"/>
    </row>
    <row r="702" spans="1:10" s="104" customFormat="1" ht="13.5" customHeight="1">
      <c r="A702" s="97">
        <v>275</v>
      </c>
      <c r="B702" s="98">
        <v>998</v>
      </c>
      <c r="C702" s="98">
        <v>998767202</v>
      </c>
      <c r="D702" s="98" t="s">
        <v>682</v>
      </c>
      <c r="E702" s="98" t="s">
        <v>10</v>
      </c>
      <c r="F702" s="99">
        <v>1.79</v>
      </c>
      <c r="G702" s="673"/>
      <c r="H702" s="100">
        <f>F702*G702</f>
        <v>0</v>
      </c>
      <c r="J702" s="101"/>
    </row>
    <row r="703" spans="1:10" s="104" customFormat="1" ht="13.5" customHeight="1">
      <c r="A703" s="97">
        <v>276</v>
      </c>
      <c r="B703" s="98">
        <v>767</v>
      </c>
      <c r="C703" s="98" t="s">
        <v>683</v>
      </c>
      <c r="D703" s="98" t="s">
        <v>684</v>
      </c>
      <c r="E703" s="98" t="s">
        <v>25</v>
      </c>
      <c r="F703" s="99">
        <v>1</v>
      </c>
      <c r="G703" s="673"/>
      <c r="H703" s="100">
        <f>F703*G703</f>
        <v>0</v>
      </c>
      <c r="J703" s="101"/>
    </row>
    <row r="704" spans="1:10" s="104" customFormat="1" ht="16.8" customHeight="1">
      <c r="A704" s="111"/>
      <c r="B704" s="102"/>
      <c r="C704" s="102"/>
      <c r="D704" s="102" t="s">
        <v>213</v>
      </c>
      <c r="E704" s="102"/>
      <c r="F704" s="112">
        <v>1</v>
      </c>
      <c r="G704" s="677"/>
      <c r="H704" s="113"/>
      <c r="I704" s="114"/>
      <c r="J704" s="117"/>
    </row>
    <row r="705" spans="1:8" ht="15" customHeight="1">
      <c r="A705" s="93"/>
      <c r="B705" s="94"/>
      <c r="C705" s="94">
        <v>771</v>
      </c>
      <c r="D705" s="94" t="s">
        <v>685</v>
      </c>
      <c r="E705" s="94"/>
      <c r="F705" s="95"/>
      <c r="G705" s="678"/>
      <c r="H705" s="96">
        <f>SUM(H706:H722)</f>
        <v>0</v>
      </c>
    </row>
    <row r="706" spans="1:10" s="104" customFormat="1" ht="13.5" customHeight="1">
      <c r="A706" s="97">
        <v>277</v>
      </c>
      <c r="B706" s="98">
        <v>771</v>
      </c>
      <c r="C706" s="98">
        <v>771571810</v>
      </c>
      <c r="D706" s="98" t="s">
        <v>686</v>
      </c>
      <c r="E706" s="98" t="s">
        <v>48</v>
      </c>
      <c r="F706" s="99">
        <f>SUM(F707:F709)</f>
        <v>88.3</v>
      </c>
      <c r="G706" s="673"/>
      <c r="H706" s="100">
        <f>F706*G706</f>
        <v>0</v>
      </c>
      <c r="J706" s="101"/>
    </row>
    <row r="707" spans="1:10" s="104" customFormat="1" ht="13.5" customHeight="1">
      <c r="A707" s="111"/>
      <c r="B707" s="102"/>
      <c r="C707" s="102"/>
      <c r="D707" s="102" t="s">
        <v>687</v>
      </c>
      <c r="E707" s="102"/>
      <c r="F707" s="112">
        <f>1.8*3.5</f>
        <v>6.3</v>
      </c>
      <c r="G707" s="677"/>
      <c r="H707" s="113"/>
      <c r="I707" s="114"/>
      <c r="J707" s="117"/>
    </row>
    <row r="708" spans="1:10" s="104" customFormat="1" ht="13.5" customHeight="1">
      <c r="A708" s="111"/>
      <c r="B708" s="102"/>
      <c r="C708" s="102"/>
      <c r="D708" s="102" t="s">
        <v>688</v>
      </c>
      <c r="E708" s="102"/>
      <c r="F708" s="112">
        <v>6</v>
      </c>
      <c r="G708" s="677"/>
      <c r="H708" s="113"/>
      <c r="I708" s="114"/>
      <c r="J708" s="117"/>
    </row>
    <row r="709" spans="1:10" s="104" customFormat="1" ht="27" customHeight="1">
      <c r="A709" s="111"/>
      <c r="B709" s="102"/>
      <c r="C709" s="102"/>
      <c r="D709" s="102" t="s">
        <v>689</v>
      </c>
      <c r="E709" s="102"/>
      <c r="F709" s="112">
        <v>76</v>
      </c>
      <c r="G709" s="677"/>
      <c r="H709" s="113"/>
      <c r="I709" s="114"/>
      <c r="J709" s="117"/>
    </row>
    <row r="710" spans="1:10" s="104" customFormat="1" ht="13.5" customHeight="1">
      <c r="A710" s="97">
        <v>278</v>
      </c>
      <c r="B710" s="98">
        <v>771</v>
      </c>
      <c r="C710" s="98">
        <v>771121011</v>
      </c>
      <c r="D710" s="98" t="s">
        <v>690</v>
      </c>
      <c r="E710" s="98" t="s">
        <v>48</v>
      </c>
      <c r="F710" s="99">
        <f>F711</f>
        <v>56</v>
      </c>
      <c r="G710" s="673"/>
      <c r="H710" s="100">
        <f>F710*G710</f>
        <v>0</v>
      </c>
      <c r="J710" s="101"/>
    </row>
    <row r="711" spans="1:10" s="104" customFormat="1" ht="27" customHeight="1">
      <c r="A711" s="111"/>
      <c r="B711" s="102"/>
      <c r="C711" s="102"/>
      <c r="D711" s="102" t="s">
        <v>691</v>
      </c>
      <c r="E711" s="102"/>
      <c r="F711" s="112">
        <f>76-20</f>
        <v>56</v>
      </c>
      <c r="G711" s="677"/>
      <c r="H711" s="113"/>
      <c r="I711" s="114"/>
      <c r="J711" s="117"/>
    </row>
    <row r="712" spans="1:10" s="104" customFormat="1" ht="27" customHeight="1">
      <c r="A712" s="97">
        <v>279</v>
      </c>
      <c r="B712" s="98">
        <v>771</v>
      </c>
      <c r="C712" s="98" t="s">
        <v>692</v>
      </c>
      <c r="D712" s="98" t="s">
        <v>693</v>
      </c>
      <c r="E712" s="98" t="s">
        <v>48</v>
      </c>
      <c r="F712" s="99">
        <f>F718</f>
        <v>56</v>
      </c>
      <c r="G712" s="673"/>
      <c r="H712" s="100">
        <f>F712*G712</f>
        <v>0</v>
      </c>
      <c r="J712" s="101"/>
    </row>
    <row r="713" spans="1:10" s="104" customFormat="1" ht="13.5" customHeight="1">
      <c r="A713" s="111"/>
      <c r="B713" s="102"/>
      <c r="C713" s="102"/>
      <c r="D713" s="102" t="s">
        <v>219</v>
      </c>
      <c r="E713" s="102"/>
      <c r="F713" s="112"/>
      <c r="G713" s="677"/>
      <c r="H713" s="113"/>
      <c r="I713" s="114"/>
      <c r="J713" s="117"/>
    </row>
    <row r="714" spans="1:10" s="104" customFormat="1" ht="13.5" customHeight="1">
      <c r="A714" s="111"/>
      <c r="B714" s="102"/>
      <c r="C714" s="102"/>
      <c r="D714" s="102" t="s">
        <v>694</v>
      </c>
      <c r="E714" s="102"/>
      <c r="F714" s="112"/>
      <c r="G714" s="677"/>
      <c r="H714" s="113"/>
      <c r="I714" s="114"/>
      <c r="J714" s="117"/>
    </row>
    <row r="715" spans="1:10" s="104" customFormat="1" ht="13.5" customHeight="1">
      <c r="A715" s="111"/>
      <c r="B715" s="102"/>
      <c r="C715" s="102"/>
      <c r="D715" s="102" t="s">
        <v>695</v>
      </c>
      <c r="E715" s="102"/>
      <c r="F715" s="112"/>
      <c r="G715" s="677"/>
      <c r="H715" s="113"/>
      <c r="I715" s="114"/>
      <c r="J715" s="117"/>
    </row>
    <row r="716" spans="1:10" s="104" customFormat="1" ht="13.5" customHeight="1">
      <c r="A716" s="111"/>
      <c r="B716" s="102"/>
      <c r="C716" s="102"/>
      <c r="D716" s="102" t="s">
        <v>696</v>
      </c>
      <c r="E716" s="102"/>
      <c r="F716" s="112"/>
      <c r="G716" s="677"/>
      <c r="H716" s="113"/>
      <c r="I716" s="114"/>
      <c r="J716" s="117"/>
    </row>
    <row r="717" spans="1:10" s="104" customFormat="1" ht="13.5" customHeight="1">
      <c r="A717" s="111"/>
      <c r="B717" s="102"/>
      <c r="C717" s="102"/>
      <c r="D717" s="102" t="s">
        <v>697</v>
      </c>
      <c r="E717" s="102"/>
      <c r="F717" s="112"/>
      <c r="G717" s="677"/>
      <c r="H717" s="113"/>
      <c r="I717" s="114"/>
      <c r="J717" s="117"/>
    </row>
    <row r="718" spans="1:10" s="104" customFormat="1" ht="27" customHeight="1">
      <c r="A718" s="111"/>
      <c r="B718" s="102"/>
      <c r="C718" s="102"/>
      <c r="D718" s="102" t="s">
        <v>698</v>
      </c>
      <c r="E718" s="102"/>
      <c r="F718" s="112">
        <f>76-20</f>
        <v>56</v>
      </c>
      <c r="G718" s="677"/>
      <c r="H718" s="113"/>
      <c r="I718" s="114"/>
      <c r="J718" s="117"/>
    </row>
    <row r="719" spans="1:10" s="104" customFormat="1" ht="13.5" customHeight="1">
      <c r="A719" s="111"/>
      <c r="B719" s="102"/>
      <c r="C719" s="102"/>
      <c r="D719" s="102" t="s">
        <v>699</v>
      </c>
      <c r="E719" s="102"/>
      <c r="F719" s="112"/>
      <c r="G719" s="677"/>
      <c r="H719" s="113"/>
      <c r="I719" s="114"/>
      <c r="J719" s="117"/>
    </row>
    <row r="720" spans="1:10" s="104" customFormat="1" ht="13.5" customHeight="1">
      <c r="A720" s="97">
        <v>280</v>
      </c>
      <c r="B720" s="98">
        <v>998</v>
      </c>
      <c r="C720" s="98">
        <v>998771202</v>
      </c>
      <c r="D720" s="98" t="s">
        <v>700</v>
      </c>
      <c r="E720" s="98" t="s">
        <v>10</v>
      </c>
      <c r="F720" s="99">
        <v>6.58</v>
      </c>
      <c r="G720" s="673"/>
      <c r="H720" s="100">
        <f>F720*G720</f>
        <v>0</v>
      </c>
      <c r="J720" s="101"/>
    </row>
    <row r="721" spans="1:10" s="104" customFormat="1" ht="13.5" customHeight="1">
      <c r="A721" s="97">
        <v>281</v>
      </c>
      <c r="B721" s="98">
        <v>771</v>
      </c>
      <c r="C721" s="98" t="s">
        <v>701</v>
      </c>
      <c r="D721" s="98" t="s">
        <v>702</v>
      </c>
      <c r="E721" s="98" t="s">
        <v>25</v>
      </c>
      <c r="F721" s="99">
        <v>1</v>
      </c>
      <c r="G721" s="673"/>
      <c r="H721" s="100">
        <f>F721*G721</f>
        <v>0</v>
      </c>
      <c r="J721" s="101"/>
    </row>
    <row r="722" spans="1:10" s="104" customFormat="1" ht="16.2" customHeight="1">
      <c r="A722" s="111"/>
      <c r="B722" s="102"/>
      <c r="C722" s="102"/>
      <c r="D722" s="102" t="s">
        <v>213</v>
      </c>
      <c r="E722" s="102"/>
      <c r="F722" s="112">
        <v>1</v>
      </c>
      <c r="G722" s="677"/>
      <c r="H722" s="113"/>
      <c r="I722" s="114"/>
      <c r="J722" s="117"/>
    </row>
    <row r="723" spans="1:8" ht="15" customHeight="1">
      <c r="A723" s="93"/>
      <c r="B723" s="94"/>
      <c r="C723" s="94">
        <v>781</v>
      </c>
      <c r="D723" s="94" t="s">
        <v>711</v>
      </c>
      <c r="E723" s="94"/>
      <c r="F723" s="95"/>
      <c r="G723" s="678"/>
      <c r="H723" s="96">
        <f>SUM(H724:H727)</f>
        <v>0</v>
      </c>
    </row>
    <row r="724" spans="1:10" s="104" customFormat="1" ht="13.5" customHeight="1">
      <c r="A724" s="97">
        <v>282</v>
      </c>
      <c r="B724" s="98">
        <v>781</v>
      </c>
      <c r="C724" s="98">
        <v>781473810</v>
      </c>
      <c r="D724" s="98" t="s">
        <v>712</v>
      </c>
      <c r="E724" s="98" t="s">
        <v>48</v>
      </c>
      <c r="F724" s="99">
        <f>SUM(F725:F726)</f>
        <v>65.4</v>
      </c>
      <c r="G724" s="673"/>
      <c r="H724" s="100">
        <f>F724*G724</f>
        <v>0</v>
      </c>
      <c r="J724" s="101"/>
    </row>
    <row r="725" spans="1:10" s="104" customFormat="1" ht="13.5" customHeight="1">
      <c r="A725" s="111"/>
      <c r="B725" s="102"/>
      <c r="C725" s="102"/>
      <c r="D725" s="102" t="s">
        <v>713</v>
      </c>
      <c r="E725" s="102"/>
      <c r="F725" s="112">
        <v>24.7</v>
      </c>
      <c r="G725" s="677"/>
      <c r="H725" s="113"/>
      <c r="I725" s="114"/>
      <c r="J725" s="117"/>
    </row>
    <row r="726" spans="1:10" s="104" customFormat="1" ht="13.5" customHeight="1">
      <c r="A726" s="111"/>
      <c r="B726" s="102"/>
      <c r="C726" s="102"/>
      <c r="D726" s="102" t="s">
        <v>714</v>
      </c>
      <c r="E726" s="102"/>
      <c r="F726" s="112">
        <v>40.7</v>
      </c>
      <c r="G726" s="677"/>
      <c r="H726" s="113"/>
      <c r="I726" s="114"/>
      <c r="J726" s="117"/>
    </row>
    <row r="727" spans="1:10" s="104" customFormat="1" ht="13.5" customHeight="1">
      <c r="A727" s="97">
        <v>283</v>
      </c>
      <c r="B727" s="98">
        <v>781</v>
      </c>
      <c r="C727" s="98">
        <v>998781202</v>
      </c>
      <c r="D727" s="98" t="s">
        <v>715</v>
      </c>
      <c r="E727" s="98" t="s">
        <v>10</v>
      </c>
      <c r="F727" s="99">
        <v>3.37</v>
      </c>
      <c r="G727" s="673"/>
      <c r="H727" s="100">
        <f>F727*G727</f>
        <v>0</v>
      </c>
      <c r="J727" s="101"/>
    </row>
    <row r="728" spans="1:8" ht="15" customHeight="1">
      <c r="A728" s="93"/>
      <c r="B728" s="94"/>
      <c r="C728" s="94">
        <v>783</v>
      </c>
      <c r="D728" s="94" t="s">
        <v>716</v>
      </c>
      <c r="E728" s="94"/>
      <c r="F728" s="95"/>
      <c r="G728" s="678"/>
      <c r="H728" s="96">
        <f>SUM(H729:H738)</f>
        <v>0</v>
      </c>
    </row>
    <row r="729" spans="1:10" s="104" customFormat="1" ht="13.5" customHeight="1">
      <c r="A729" s="97">
        <v>284</v>
      </c>
      <c r="B729" s="98">
        <v>783</v>
      </c>
      <c r="C729" s="98">
        <v>783823181</v>
      </c>
      <c r="D729" s="98" t="s">
        <v>719</v>
      </c>
      <c r="E729" s="98" t="s">
        <v>48</v>
      </c>
      <c r="F729" s="99">
        <f>SUM(F730:F733)</f>
        <v>477.8</v>
      </c>
      <c r="G729" s="673"/>
      <c r="H729" s="100">
        <f>F729*G729</f>
        <v>0</v>
      </c>
      <c r="J729" s="101"/>
    </row>
    <row r="730" spans="1:10" s="104" customFormat="1" ht="13.5" customHeight="1">
      <c r="A730" s="97"/>
      <c r="B730" s="98"/>
      <c r="C730" s="98"/>
      <c r="D730" s="102" t="s">
        <v>720</v>
      </c>
      <c r="E730" s="98"/>
      <c r="F730" s="103">
        <v>177.9</v>
      </c>
      <c r="G730" s="673"/>
      <c r="H730" s="100"/>
      <c r="J730" s="101"/>
    </row>
    <row r="731" spans="1:10" s="104" customFormat="1" ht="13.5" customHeight="1">
      <c r="A731" s="97"/>
      <c r="B731" s="98"/>
      <c r="C731" s="98"/>
      <c r="D731" s="102" t="s">
        <v>721</v>
      </c>
      <c r="E731" s="98"/>
      <c r="F731" s="103">
        <v>73.8</v>
      </c>
      <c r="G731" s="673"/>
      <c r="H731" s="100"/>
      <c r="J731" s="101"/>
    </row>
    <row r="732" spans="1:10" s="104" customFormat="1" ht="13.5" customHeight="1">
      <c r="A732" s="97"/>
      <c r="B732" s="98"/>
      <c r="C732" s="98"/>
      <c r="D732" s="102" t="s">
        <v>722</v>
      </c>
      <c r="E732" s="98"/>
      <c r="F732" s="103">
        <v>55.8</v>
      </c>
      <c r="G732" s="673"/>
      <c r="H732" s="100"/>
      <c r="J732" s="101"/>
    </row>
    <row r="733" spans="1:10" s="104" customFormat="1" ht="13.5" customHeight="1">
      <c r="A733" s="97"/>
      <c r="B733" s="98"/>
      <c r="C733" s="98"/>
      <c r="D733" s="102" t="s">
        <v>723</v>
      </c>
      <c r="E733" s="98"/>
      <c r="F733" s="103">
        <v>170.3</v>
      </c>
      <c r="G733" s="673"/>
      <c r="H733" s="100"/>
      <c r="J733" s="101"/>
    </row>
    <row r="734" spans="1:10" s="104" customFormat="1" ht="13.5" customHeight="1">
      <c r="A734" s="97">
        <v>285</v>
      </c>
      <c r="B734" s="98">
        <v>783</v>
      </c>
      <c r="C734" s="98">
        <v>783826645</v>
      </c>
      <c r="D734" s="98" t="s">
        <v>724</v>
      </c>
      <c r="E734" s="98" t="s">
        <v>48</v>
      </c>
      <c r="F734" s="99">
        <f>F735</f>
        <v>120.1</v>
      </c>
      <c r="G734" s="673"/>
      <c r="H734" s="100">
        <f>F734*G734</f>
        <v>0</v>
      </c>
      <c r="J734" s="101"/>
    </row>
    <row r="735" spans="1:10" s="104" customFormat="1" ht="15" customHeight="1">
      <c r="A735" s="97"/>
      <c r="B735" s="98"/>
      <c r="C735" s="98"/>
      <c r="D735" s="102" t="s">
        <v>1473</v>
      </c>
      <c r="E735" s="98"/>
      <c r="F735" s="103">
        <f>200.1-80</f>
        <v>120.1</v>
      </c>
      <c r="G735" s="673"/>
      <c r="H735" s="100"/>
      <c r="J735" s="101"/>
    </row>
    <row r="736" spans="1:10" s="104" customFormat="1" ht="13.5" customHeight="1">
      <c r="A736" s="97">
        <v>286</v>
      </c>
      <c r="B736" s="98">
        <v>783</v>
      </c>
      <c r="C736" s="98">
        <v>783827181</v>
      </c>
      <c r="D736" s="98" t="s">
        <v>725</v>
      </c>
      <c r="E736" s="98" t="s">
        <v>48</v>
      </c>
      <c r="F736" s="99">
        <f>SUM(F737:F738)</f>
        <v>340.5</v>
      </c>
      <c r="G736" s="673"/>
      <c r="H736" s="100">
        <f>F736*G736</f>
        <v>0</v>
      </c>
      <c r="J736" s="101"/>
    </row>
    <row r="737" spans="1:10" s="104" customFormat="1" ht="13.5" customHeight="1">
      <c r="A737" s="97"/>
      <c r="B737" s="98"/>
      <c r="C737" s="98"/>
      <c r="D737" s="102" t="s">
        <v>726</v>
      </c>
      <c r="E737" s="98"/>
      <c r="F737" s="103">
        <v>192.3</v>
      </c>
      <c r="G737" s="673"/>
      <c r="H737" s="100"/>
      <c r="J737" s="101"/>
    </row>
    <row r="738" spans="1:10" s="104" customFormat="1" ht="13.5" customHeight="1">
      <c r="A738" s="97"/>
      <c r="B738" s="98"/>
      <c r="C738" s="98"/>
      <c r="D738" s="102" t="s">
        <v>727</v>
      </c>
      <c r="E738" s="98"/>
      <c r="F738" s="103">
        <v>148.2</v>
      </c>
      <c r="G738" s="673"/>
      <c r="H738" s="100"/>
      <c r="J738" s="101"/>
    </row>
    <row r="739" spans="1:8" ht="15" customHeight="1">
      <c r="A739" s="93"/>
      <c r="B739" s="94"/>
      <c r="C739" s="94">
        <v>786</v>
      </c>
      <c r="D739" s="94" t="s">
        <v>731</v>
      </c>
      <c r="E739" s="94"/>
      <c r="F739" s="95"/>
      <c r="G739" s="678"/>
      <c r="H739" s="96">
        <f>SUM(H740:H754)</f>
        <v>0</v>
      </c>
    </row>
    <row r="740" spans="1:10" s="104" customFormat="1" ht="13.5" customHeight="1">
      <c r="A740" s="97">
        <v>287</v>
      </c>
      <c r="B740" s="98">
        <v>786</v>
      </c>
      <c r="C740" s="98" t="s">
        <v>757</v>
      </c>
      <c r="D740" s="98" t="s">
        <v>758</v>
      </c>
      <c r="E740" s="98" t="s">
        <v>25</v>
      </c>
      <c r="F740" s="99">
        <f>F741</f>
        <v>5</v>
      </c>
      <c r="G740" s="673"/>
      <c r="H740" s="100">
        <f>F740*G740</f>
        <v>0</v>
      </c>
      <c r="J740" s="101"/>
    </row>
    <row r="741" spans="1:10" s="104" customFormat="1" ht="13.5" customHeight="1">
      <c r="A741" s="97"/>
      <c r="B741" s="98"/>
      <c r="C741" s="98"/>
      <c r="D741" s="102" t="s">
        <v>759</v>
      </c>
      <c r="E741" s="98"/>
      <c r="F741" s="103">
        <v>5</v>
      </c>
      <c r="G741" s="673"/>
      <c r="H741" s="100"/>
      <c r="J741" s="101"/>
    </row>
    <row r="742" spans="1:10" s="104" customFormat="1" ht="13.5" customHeight="1">
      <c r="A742" s="97"/>
      <c r="B742" s="98"/>
      <c r="C742" s="98"/>
      <c r="D742" s="102" t="s">
        <v>412</v>
      </c>
      <c r="E742" s="98"/>
      <c r="F742" s="103"/>
      <c r="G742" s="673"/>
      <c r="H742" s="100"/>
      <c r="J742" s="101"/>
    </row>
    <row r="743" spans="1:10" s="104" customFormat="1" ht="13.5" customHeight="1">
      <c r="A743" s="97">
        <v>288</v>
      </c>
      <c r="B743" s="98">
        <v>786</v>
      </c>
      <c r="C743" s="98" t="s">
        <v>760</v>
      </c>
      <c r="D743" s="98" t="s">
        <v>761</v>
      </c>
      <c r="E743" s="98" t="s">
        <v>25</v>
      </c>
      <c r="F743" s="99">
        <f>F744</f>
        <v>11</v>
      </c>
      <c r="G743" s="673"/>
      <c r="H743" s="100">
        <f>F743*G743</f>
        <v>0</v>
      </c>
      <c r="J743" s="101"/>
    </row>
    <row r="744" spans="1:10" s="104" customFormat="1" ht="13.5" customHeight="1">
      <c r="A744" s="97"/>
      <c r="B744" s="98"/>
      <c r="C744" s="98"/>
      <c r="D744" s="102" t="s">
        <v>762</v>
      </c>
      <c r="E744" s="98"/>
      <c r="F744" s="103">
        <v>11</v>
      </c>
      <c r="G744" s="673"/>
      <c r="H744" s="100"/>
      <c r="J744" s="101"/>
    </row>
    <row r="745" spans="1:10" s="104" customFormat="1" ht="13.5" customHeight="1">
      <c r="A745" s="97"/>
      <c r="B745" s="98"/>
      <c r="C745" s="98"/>
      <c r="D745" s="102" t="s">
        <v>412</v>
      </c>
      <c r="E745" s="98"/>
      <c r="F745" s="103"/>
      <c r="G745" s="673"/>
      <c r="H745" s="100"/>
      <c r="J745" s="101"/>
    </row>
    <row r="746" spans="1:10" s="104" customFormat="1" ht="13.5" customHeight="1">
      <c r="A746" s="97">
        <v>289</v>
      </c>
      <c r="B746" s="98">
        <v>786</v>
      </c>
      <c r="C746" s="98" t="s">
        <v>763</v>
      </c>
      <c r="D746" s="98" t="s">
        <v>764</v>
      </c>
      <c r="E746" s="98" t="s">
        <v>25</v>
      </c>
      <c r="F746" s="99">
        <f>F747</f>
        <v>5</v>
      </c>
      <c r="G746" s="673"/>
      <c r="H746" s="100">
        <f>F746*G746</f>
        <v>0</v>
      </c>
      <c r="J746" s="101"/>
    </row>
    <row r="747" spans="1:10" s="104" customFormat="1" ht="13.5" customHeight="1">
      <c r="A747" s="97"/>
      <c r="B747" s="98"/>
      <c r="C747" s="98"/>
      <c r="D747" s="102" t="s">
        <v>765</v>
      </c>
      <c r="E747" s="98"/>
      <c r="F747" s="103">
        <v>5</v>
      </c>
      <c r="G747" s="673"/>
      <c r="H747" s="100"/>
      <c r="J747" s="101"/>
    </row>
    <row r="748" spans="1:10" s="104" customFormat="1" ht="13.5" customHeight="1">
      <c r="A748" s="97"/>
      <c r="B748" s="98"/>
      <c r="C748" s="98"/>
      <c r="D748" s="102" t="s">
        <v>412</v>
      </c>
      <c r="E748" s="98"/>
      <c r="F748" s="103"/>
      <c r="G748" s="673"/>
      <c r="H748" s="100"/>
      <c r="J748" s="101"/>
    </row>
    <row r="749" spans="1:10" s="104" customFormat="1" ht="13.5" customHeight="1">
      <c r="A749" s="97">
        <v>290</v>
      </c>
      <c r="B749" s="98">
        <v>786</v>
      </c>
      <c r="C749" s="98" t="s">
        <v>766</v>
      </c>
      <c r="D749" s="98" t="s">
        <v>767</v>
      </c>
      <c r="E749" s="98" t="s">
        <v>25</v>
      </c>
      <c r="F749" s="99">
        <f>F750</f>
        <v>1</v>
      </c>
      <c r="G749" s="673"/>
      <c r="H749" s="100">
        <f>F749*G749</f>
        <v>0</v>
      </c>
      <c r="J749" s="101"/>
    </row>
    <row r="750" spans="1:10" s="104" customFormat="1" ht="13.5" customHeight="1">
      <c r="A750" s="97"/>
      <c r="B750" s="98"/>
      <c r="C750" s="98"/>
      <c r="D750" s="102" t="s">
        <v>768</v>
      </c>
      <c r="E750" s="98"/>
      <c r="F750" s="103">
        <v>1</v>
      </c>
      <c r="G750" s="673"/>
      <c r="H750" s="100"/>
      <c r="J750" s="101"/>
    </row>
    <row r="751" spans="1:10" s="104" customFormat="1" ht="13.5" customHeight="1">
      <c r="A751" s="97"/>
      <c r="B751" s="98"/>
      <c r="C751" s="98"/>
      <c r="D751" s="102" t="s">
        <v>412</v>
      </c>
      <c r="E751" s="98"/>
      <c r="F751" s="103"/>
      <c r="G751" s="673"/>
      <c r="H751" s="100"/>
      <c r="J751" s="101"/>
    </row>
    <row r="752" spans="1:10" s="104" customFormat="1" ht="13.5" customHeight="1">
      <c r="A752" s="97">
        <v>291</v>
      </c>
      <c r="B752" s="98">
        <v>998</v>
      </c>
      <c r="C752" s="98">
        <v>998786202</v>
      </c>
      <c r="D752" s="98" t="s">
        <v>772</v>
      </c>
      <c r="E752" s="98" t="s">
        <v>10</v>
      </c>
      <c r="F752" s="99">
        <v>0.33</v>
      </c>
      <c r="G752" s="673"/>
      <c r="H752" s="100">
        <f>F752*G752</f>
        <v>0</v>
      </c>
      <c r="J752" s="101"/>
    </row>
    <row r="753" spans="1:10" s="104" customFormat="1" ht="13.5" customHeight="1">
      <c r="A753" s="97">
        <v>292</v>
      </c>
      <c r="B753" s="98">
        <v>786</v>
      </c>
      <c r="C753" s="98" t="s">
        <v>773</v>
      </c>
      <c r="D753" s="98" t="s">
        <v>774</v>
      </c>
      <c r="E753" s="98" t="s">
        <v>25</v>
      </c>
      <c r="F753" s="99">
        <v>1</v>
      </c>
      <c r="G753" s="673"/>
      <c r="H753" s="100">
        <f>F753*G753</f>
        <v>0</v>
      </c>
      <c r="J753" s="101"/>
    </row>
    <row r="754" spans="1:10" s="104" customFormat="1" ht="17.4" customHeight="1">
      <c r="A754" s="111"/>
      <c r="B754" s="102"/>
      <c r="C754" s="102"/>
      <c r="D754" s="102" t="s">
        <v>213</v>
      </c>
      <c r="E754" s="102"/>
      <c r="F754" s="112">
        <v>1</v>
      </c>
      <c r="G754" s="677"/>
      <c r="H754" s="113"/>
      <c r="I754" s="114"/>
      <c r="J754" s="117"/>
    </row>
    <row r="755" spans="1:8" ht="15" customHeight="1">
      <c r="A755" s="93"/>
      <c r="B755" s="94"/>
      <c r="C755" s="94">
        <v>790</v>
      </c>
      <c r="D755" s="94" t="s">
        <v>136</v>
      </c>
      <c r="E755" s="94"/>
      <c r="F755" s="95"/>
      <c r="G755" s="678"/>
      <c r="H755" s="96">
        <f>SUM(H756:H820)</f>
        <v>0</v>
      </c>
    </row>
    <row r="756" spans="1:10" s="104" customFormat="1" ht="13.5" customHeight="1">
      <c r="A756" s="97">
        <v>293</v>
      </c>
      <c r="B756" s="110" t="s">
        <v>775</v>
      </c>
      <c r="C756" s="98" t="s">
        <v>776</v>
      </c>
      <c r="D756" s="98" t="s">
        <v>777</v>
      </c>
      <c r="E756" s="98" t="s">
        <v>139</v>
      </c>
      <c r="F756" s="99">
        <f>F757</f>
        <v>699.9999999999999</v>
      </c>
      <c r="G756" s="673"/>
      <c r="H756" s="100">
        <f>F756*G756</f>
        <v>0</v>
      </c>
      <c r="J756" s="101"/>
    </row>
    <row r="757" spans="1:10" s="104" customFormat="1" ht="13.5" customHeight="1">
      <c r="A757" s="111"/>
      <c r="B757" s="102"/>
      <c r="C757" s="102"/>
      <c r="D757" s="102" t="s">
        <v>778</v>
      </c>
      <c r="E757" s="102"/>
      <c r="F757" s="112">
        <f>1043.6-343.6</f>
        <v>699.9999999999999</v>
      </c>
      <c r="G757" s="677"/>
      <c r="H757" s="113"/>
      <c r="I757" s="114"/>
      <c r="J757" s="117"/>
    </row>
    <row r="758" spans="1:10" s="104" customFormat="1" ht="13.5" customHeight="1">
      <c r="A758" s="111"/>
      <c r="B758" s="102"/>
      <c r="C758" s="102"/>
      <c r="D758" s="102" t="s">
        <v>412</v>
      </c>
      <c r="E758" s="102"/>
      <c r="F758" s="112"/>
      <c r="G758" s="677"/>
      <c r="H758" s="113"/>
      <c r="I758" s="114"/>
      <c r="J758" s="117"/>
    </row>
    <row r="759" spans="1:10" s="104" customFormat="1" ht="13.5" customHeight="1">
      <c r="A759" s="97">
        <v>294</v>
      </c>
      <c r="B759" s="110" t="s">
        <v>775</v>
      </c>
      <c r="C759" s="98" t="s">
        <v>779</v>
      </c>
      <c r="D759" s="98" t="s">
        <v>780</v>
      </c>
      <c r="E759" s="98" t="s">
        <v>139</v>
      </c>
      <c r="F759" s="99">
        <f>F760</f>
        <v>876.6</v>
      </c>
      <c r="G759" s="673"/>
      <c r="H759" s="100">
        <f>F759*G759</f>
        <v>0</v>
      </c>
      <c r="J759" s="101"/>
    </row>
    <row r="760" spans="1:10" s="104" customFormat="1" ht="13.5" customHeight="1">
      <c r="A760" s="111"/>
      <c r="B760" s="102"/>
      <c r="C760" s="102"/>
      <c r="D760" s="102" t="s">
        <v>781</v>
      </c>
      <c r="E760" s="102"/>
      <c r="F760" s="112">
        <v>876.6</v>
      </c>
      <c r="G760" s="677"/>
      <c r="H760" s="113"/>
      <c r="I760" s="114"/>
      <c r="J760" s="117"/>
    </row>
    <row r="761" spans="1:10" s="104" customFormat="1" ht="13.5" customHeight="1">
      <c r="A761" s="111"/>
      <c r="B761" s="102"/>
      <c r="C761" s="102"/>
      <c r="D761" s="102" t="s">
        <v>412</v>
      </c>
      <c r="E761" s="102"/>
      <c r="F761" s="112"/>
      <c r="G761" s="677"/>
      <c r="H761" s="113"/>
      <c r="I761" s="114"/>
      <c r="J761" s="117"/>
    </row>
    <row r="762" spans="1:10" s="104" customFormat="1" ht="13.5" customHeight="1">
      <c r="A762" s="97">
        <v>295</v>
      </c>
      <c r="B762" s="110" t="s">
        <v>775</v>
      </c>
      <c r="C762" s="98" t="s">
        <v>782</v>
      </c>
      <c r="D762" s="98" t="s">
        <v>783</v>
      </c>
      <c r="E762" s="98" t="s">
        <v>139</v>
      </c>
      <c r="F762" s="99">
        <f>F763</f>
        <v>74</v>
      </c>
      <c r="G762" s="673"/>
      <c r="H762" s="100">
        <f>F762*G762</f>
        <v>0</v>
      </c>
      <c r="J762" s="101"/>
    </row>
    <row r="763" spans="1:10" s="104" customFormat="1" ht="13.5" customHeight="1">
      <c r="A763" s="111"/>
      <c r="B763" s="102"/>
      <c r="C763" s="102"/>
      <c r="D763" s="102" t="s">
        <v>784</v>
      </c>
      <c r="E763" s="102"/>
      <c r="F763" s="112">
        <v>74</v>
      </c>
      <c r="G763" s="677"/>
      <c r="H763" s="113"/>
      <c r="I763" s="114"/>
      <c r="J763" s="117"/>
    </row>
    <row r="764" spans="1:10" s="104" customFormat="1" ht="13.5" customHeight="1">
      <c r="A764" s="111"/>
      <c r="B764" s="102"/>
      <c r="C764" s="102"/>
      <c r="D764" s="102" t="s">
        <v>412</v>
      </c>
      <c r="E764" s="102"/>
      <c r="F764" s="112"/>
      <c r="G764" s="677"/>
      <c r="H764" s="113"/>
      <c r="I764" s="114"/>
      <c r="J764" s="117"/>
    </row>
    <row r="765" spans="1:10" s="104" customFormat="1" ht="13.5" customHeight="1">
      <c r="A765" s="97">
        <v>296</v>
      </c>
      <c r="B765" s="110" t="s">
        <v>775</v>
      </c>
      <c r="C765" s="98" t="s">
        <v>785</v>
      </c>
      <c r="D765" s="98" t="s">
        <v>786</v>
      </c>
      <c r="E765" s="98" t="s">
        <v>139</v>
      </c>
      <c r="F765" s="99">
        <f>F766</f>
        <v>16</v>
      </c>
      <c r="G765" s="673"/>
      <c r="H765" s="100">
        <f>F765*G765</f>
        <v>0</v>
      </c>
      <c r="J765" s="101"/>
    </row>
    <row r="766" spans="1:10" s="104" customFormat="1" ht="13.5" customHeight="1">
      <c r="A766" s="111"/>
      <c r="B766" s="102"/>
      <c r="C766" s="102"/>
      <c r="D766" s="102" t="s">
        <v>787</v>
      </c>
      <c r="E766" s="102"/>
      <c r="F766" s="112">
        <v>16</v>
      </c>
      <c r="G766" s="677"/>
      <c r="H766" s="113"/>
      <c r="I766" s="114"/>
      <c r="J766" s="117"/>
    </row>
    <row r="767" spans="1:10" s="104" customFormat="1" ht="13.5" customHeight="1">
      <c r="A767" s="111"/>
      <c r="B767" s="102"/>
      <c r="C767" s="102"/>
      <c r="D767" s="102" t="s">
        <v>412</v>
      </c>
      <c r="E767" s="102"/>
      <c r="F767" s="112"/>
      <c r="G767" s="677"/>
      <c r="H767" s="113"/>
      <c r="I767" s="114"/>
      <c r="J767" s="117"/>
    </row>
    <row r="768" spans="1:10" s="104" customFormat="1" ht="13.5" customHeight="1">
      <c r="A768" s="97">
        <v>297</v>
      </c>
      <c r="B768" s="110" t="s">
        <v>775</v>
      </c>
      <c r="C768" s="98" t="s">
        <v>788</v>
      </c>
      <c r="D768" s="98" t="s">
        <v>789</v>
      </c>
      <c r="E768" s="98" t="s">
        <v>25</v>
      </c>
      <c r="F768" s="99">
        <f>F769</f>
        <v>1</v>
      </c>
      <c r="G768" s="673"/>
      <c r="H768" s="100">
        <f>F768*G768</f>
        <v>0</v>
      </c>
      <c r="J768" s="101"/>
    </row>
    <row r="769" spans="1:10" s="104" customFormat="1" ht="13.5" customHeight="1">
      <c r="A769" s="111"/>
      <c r="B769" s="102"/>
      <c r="C769" s="102"/>
      <c r="D769" s="102" t="s">
        <v>790</v>
      </c>
      <c r="E769" s="102"/>
      <c r="F769" s="112">
        <v>1</v>
      </c>
      <c r="G769" s="677"/>
      <c r="H769" s="113"/>
      <c r="I769" s="114"/>
      <c r="J769" s="117"/>
    </row>
    <row r="770" spans="1:10" s="104" customFormat="1" ht="27" customHeight="1">
      <c r="A770" s="111"/>
      <c r="B770" s="102"/>
      <c r="C770" s="102"/>
      <c r="D770" s="102" t="s">
        <v>791</v>
      </c>
      <c r="E770" s="102"/>
      <c r="F770" s="112"/>
      <c r="G770" s="677"/>
      <c r="H770" s="113"/>
      <c r="I770" s="114"/>
      <c r="J770" s="117"/>
    </row>
    <row r="771" spans="1:10" s="104" customFormat="1" ht="13.5" customHeight="1">
      <c r="A771" s="97">
        <v>298</v>
      </c>
      <c r="B771" s="110" t="s">
        <v>775</v>
      </c>
      <c r="C771" s="98" t="s">
        <v>792</v>
      </c>
      <c r="D771" s="98" t="s">
        <v>793</v>
      </c>
      <c r="E771" s="98" t="s">
        <v>25</v>
      </c>
      <c r="F771" s="99">
        <f>F772</f>
        <v>1</v>
      </c>
      <c r="G771" s="673"/>
      <c r="H771" s="100">
        <f>F771*G771</f>
        <v>0</v>
      </c>
      <c r="J771" s="101"/>
    </row>
    <row r="772" spans="1:10" s="104" customFormat="1" ht="27" customHeight="1">
      <c r="A772" s="111"/>
      <c r="B772" s="102"/>
      <c r="C772" s="102"/>
      <c r="D772" s="102" t="s">
        <v>791</v>
      </c>
      <c r="E772" s="102"/>
      <c r="F772" s="112">
        <v>1</v>
      </c>
      <c r="G772" s="677"/>
      <c r="H772" s="113"/>
      <c r="I772" s="114"/>
      <c r="J772" s="117"/>
    </row>
    <row r="773" spans="1:10" s="104" customFormat="1" ht="13.5" customHeight="1">
      <c r="A773" s="97">
        <v>299</v>
      </c>
      <c r="B773" s="110" t="s">
        <v>775</v>
      </c>
      <c r="C773" s="98" t="s">
        <v>794</v>
      </c>
      <c r="D773" s="98" t="s">
        <v>795</v>
      </c>
      <c r="E773" s="98" t="s">
        <v>25</v>
      </c>
      <c r="F773" s="99">
        <f>F774</f>
        <v>1</v>
      </c>
      <c r="G773" s="673"/>
      <c r="H773" s="100">
        <f>F773*G773</f>
        <v>0</v>
      </c>
      <c r="J773" s="101"/>
    </row>
    <row r="774" spans="1:10" s="104" customFormat="1" ht="27" customHeight="1">
      <c r="A774" s="111"/>
      <c r="B774" s="102"/>
      <c r="C774" s="102"/>
      <c r="D774" s="102" t="s">
        <v>791</v>
      </c>
      <c r="E774" s="102"/>
      <c r="F774" s="112">
        <v>1</v>
      </c>
      <c r="G774" s="677"/>
      <c r="H774" s="113"/>
      <c r="I774" s="114"/>
      <c r="J774" s="117"/>
    </row>
    <row r="775" spans="1:10" s="104" customFormat="1" ht="13.5" customHeight="1">
      <c r="A775" s="97">
        <v>300</v>
      </c>
      <c r="B775" s="110" t="s">
        <v>775</v>
      </c>
      <c r="C775" s="98" t="s">
        <v>796</v>
      </c>
      <c r="D775" s="98" t="s">
        <v>797</v>
      </c>
      <c r="E775" s="98" t="s">
        <v>25</v>
      </c>
      <c r="F775" s="99">
        <f>F776</f>
        <v>3</v>
      </c>
      <c r="G775" s="673"/>
      <c r="H775" s="100">
        <f>F775*G775</f>
        <v>0</v>
      </c>
      <c r="J775" s="101"/>
    </row>
    <row r="776" spans="1:10" s="104" customFormat="1" ht="27" customHeight="1">
      <c r="A776" s="111"/>
      <c r="B776" s="102"/>
      <c r="C776" s="102"/>
      <c r="D776" s="102" t="s">
        <v>791</v>
      </c>
      <c r="E776" s="102"/>
      <c r="F776" s="112">
        <v>3</v>
      </c>
      <c r="G776" s="677"/>
      <c r="H776" s="113"/>
      <c r="I776" s="114"/>
      <c r="J776" s="117"/>
    </row>
    <row r="777" spans="1:10" s="104" customFormat="1" ht="27" customHeight="1">
      <c r="A777" s="97">
        <v>301</v>
      </c>
      <c r="B777" s="110" t="s">
        <v>775</v>
      </c>
      <c r="C777" s="98" t="s">
        <v>798</v>
      </c>
      <c r="D777" s="98" t="s">
        <v>799</v>
      </c>
      <c r="E777" s="98" t="s">
        <v>25</v>
      </c>
      <c r="F777" s="99">
        <f>F778</f>
        <v>60</v>
      </c>
      <c r="G777" s="673"/>
      <c r="H777" s="100">
        <f>F777*G777</f>
        <v>0</v>
      </c>
      <c r="J777" s="101"/>
    </row>
    <row r="778" spans="1:10" s="104" customFormat="1" ht="27" customHeight="1">
      <c r="A778" s="111"/>
      <c r="B778" s="102"/>
      <c r="C778" s="102"/>
      <c r="D778" s="102" t="s">
        <v>800</v>
      </c>
      <c r="E778" s="102"/>
      <c r="F778" s="112">
        <f>80-20</f>
        <v>60</v>
      </c>
      <c r="G778" s="677"/>
      <c r="H778" s="113"/>
      <c r="I778" s="114"/>
      <c r="J778" s="117"/>
    </row>
    <row r="779" spans="1:10" s="104" customFormat="1" ht="13.5" customHeight="1">
      <c r="A779" s="111"/>
      <c r="B779" s="102"/>
      <c r="C779" s="102"/>
      <c r="D779" s="102" t="s">
        <v>801</v>
      </c>
      <c r="E779" s="102"/>
      <c r="F779" s="112"/>
      <c r="G779" s="677"/>
      <c r="H779" s="113"/>
      <c r="I779" s="114"/>
      <c r="J779" s="117"/>
    </row>
    <row r="780" spans="1:10" s="104" customFormat="1" ht="13.5" customHeight="1">
      <c r="A780" s="97">
        <v>302</v>
      </c>
      <c r="B780" s="110" t="s">
        <v>775</v>
      </c>
      <c r="C780" s="98" t="s">
        <v>802</v>
      </c>
      <c r="D780" s="98" t="s">
        <v>803</v>
      </c>
      <c r="E780" s="98" t="s">
        <v>25</v>
      </c>
      <c r="F780" s="99">
        <f>F781</f>
        <v>2</v>
      </c>
      <c r="G780" s="673"/>
      <c r="H780" s="100">
        <f>F780*G780</f>
        <v>0</v>
      </c>
      <c r="J780" s="101"/>
    </row>
    <row r="781" spans="1:10" s="104" customFormat="1" ht="13.5" customHeight="1">
      <c r="A781" s="111"/>
      <c r="B781" s="102"/>
      <c r="C781" s="102"/>
      <c r="D781" s="102" t="s">
        <v>804</v>
      </c>
      <c r="E781" s="102"/>
      <c r="F781" s="112">
        <v>2</v>
      </c>
      <c r="G781" s="677"/>
      <c r="H781" s="113"/>
      <c r="I781" s="114"/>
      <c r="J781" s="117"/>
    </row>
    <row r="782" spans="1:10" s="104" customFormat="1" ht="13.5" customHeight="1">
      <c r="A782" s="111"/>
      <c r="B782" s="102"/>
      <c r="C782" s="102"/>
      <c r="D782" s="102" t="s">
        <v>801</v>
      </c>
      <c r="E782" s="102"/>
      <c r="F782" s="112"/>
      <c r="G782" s="677"/>
      <c r="H782" s="113"/>
      <c r="I782" s="114"/>
      <c r="J782" s="117"/>
    </row>
    <row r="783" spans="1:10" s="104" customFormat="1" ht="13.5" customHeight="1">
      <c r="A783" s="97">
        <v>303</v>
      </c>
      <c r="B783" s="110" t="s">
        <v>775</v>
      </c>
      <c r="C783" s="98" t="s">
        <v>810</v>
      </c>
      <c r="D783" s="98" t="s">
        <v>811</v>
      </c>
      <c r="E783" s="98" t="s">
        <v>25</v>
      </c>
      <c r="F783" s="99">
        <f>F784</f>
        <v>1</v>
      </c>
      <c r="G783" s="673"/>
      <c r="H783" s="100">
        <f>F783*G783</f>
        <v>0</v>
      </c>
      <c r="J783" s="101"/>
    </row>
    <row r="784" spans="1:10" s="104" customFormat="1" ht="27" customHeight="1">
      <c r="A784" s="111"/>
      <c r="B784" s="102"/>
      <c r="C784" s="102"/>
      <c r="D784" s="102" t="s">
        <v>791</v>
      </c>
      <c r="E784" s="102"/>
      <c r="F784" s="112">
        <v>1</v>
      </c>
      <c r="G784" s="677"/>
      <c r="H784" s="113"/>
      <c r="I784" s="114"/>
      <c r="J784" s="117"/>
    </row>
    <row r="785" spans="1:10" s="104" customFormat="1" ht="13.5" customHeight="1">
      <c r="A785" s="97">
        <v>304</v>
      </c>
      <c r="B785" s="110" t="s">
        <v>775</v>
      </c>
      <c r="C785" s="98" t="s">
        <v>812</v>
      </c>
      <c r="D785" s="98" t="s">
        <v>813</v>
      </c>
      <c r="E785" s="98" t="s">
        <v>25</v>
      </c>
      <c r="F785" s="99">
        <f>F786</f>
        <v>1</v>
      </c>
      <c r="G785" s="673"/>
      <c r="H785" s="100">
        <f>F785*G785</f>
        <v>0</v>
      </c>
      <c r="J785" s="101"/>
    </row>
    <row r="786" spans="1:10" s="104" customFormat="1" ht="27" customHeight="1">
      <c r="A786" s="111"/>
      <c r="B786" s="102"/>
      <c r="C786" s="102"/>
      <c r="D786" s="102" t="s">
        <v>791</v>
      </c>
      <c r="E786" s="102"/>
      <c r="F786" s="112">
        <v>1</v>
      </c>
      <c r="G786" s="677"/>
      <c r="H786" s="113"/>
      <c r="I786" s="114"/>
      <c r="J786" s="117"/>
    </row>
    <row r="787" spans="1:10" s="104" customFormat="1" ht="13.5" customHeight="1">
      <c r="A787" s="97">
        <v>305</v>
      </c>
      <c r="B787" s="110" t="s">
        <v>775</v>
      </c>
      <c r="C787" s="98" t="s">
        <v>814</v>
      </c>
      <c r="D787" s="98" t="s">
        <v>815</v>
      </c>
      <c r="E787" s="98" t="s">
        <v>25</v>
      </c>
      <c r="F787" s="99">
        <f>F788</f>
        <v>10</v>
      </c>
      <c r="G787" s="673"/>
      <c r="H787" s="100">
        <f>F787*G787</f>
        <v>0</v>
      </c>
      <c r="J787" s="101"/>
    </row>
    <row r="788" spans="1:10" s="104" customFormat="1" ht="27" customHeight="1">
      <c r="A788" s="111"/>
      <c r="B788" s="102"/>
      <c r="C788" s="102"/>
      <c r="D788" s="102" t="s">
        <v>791</v>
      </c>
      <c r="E788" s="102"/>
      <c r="F788" s="112">
        <v>10</v>
      </c>
      <c r="G788" s="677"/>
      <c r="H788" s="113"/>
      <c r="I788" s="114"/>
      <c r="J788" s="117"/>
    </row>
    <row r="789" spans="1:10" s="104" customFormat="1" ht="13.5" customHeight="1">
      <c r="A789" s="97">
        <v>306</v>
      </c>
      <c r="B789" s="110" t="s">
        <v>775</v>
      </c>
      <c r="C789" s="98" t="s">
        <v>816</v>
      </c>
      <c r="D789" s="98" t="s">
        <v>817</v>
      </c>
      <c r="E789" s="98" t="s">
        <v>25</v>
      </c>
      <c r="F789" s="99">
        <f>F790</f>
        <v>2</v>
      </c>
      <c r="G789" s="673"/>
      <c r="H789" s="100">
        <f>F789*G789</f>
        <v>0</v>
      </c>
      <c r="J789" s="101"/>
    </row>
    <row r="790" spans="1:10" s="104" customFormat="1" ht="27" customHeight="1">
      <c r="A790" s="111"/>
      <c r="B790" s="102"/>
      <c r="C790" s="102"/>
      <c r="D790" s="102" t="s">
        <v>791</v>
      </c>
      <c r="E790" s="102"/>
      <c r="F790" s="112">
        <v>2</v>
      </c>
      <c r="G790" s="677"/>
      <c r="H790" s="113"/>
      <c r="I790" s="114"/>
      <c r="J790" s="117"/>
    </row>
    <row r="791" spans="1:10" s="104" customFormat="1" ht="13.5" customHeight="1">
      <c r="A791" s="97">
        <v>307</v>
      </c>
      <c r="B791" s="110" t="s">
        <v>775</v>
      </c>
      <c r="C791" s="98" t="s">
        <v>818</v>
      </c>
      <c r="D791" s="98" t="s">
        <v>819</v>
      </c>
      <c r="E791" s="98" t="s">
        <v>25</v>
      </c>
      <c r="F791" s="99">
        <f>F792</f>
        <v>1</v>
      </c>
      <c r="G791" s="673"/>
      <c r="H791" s="100">
        <f>F791*G791</f>
        <v>0</v>
      </c>
      <c r="J791" s="101"/>
    </row>
    <row r="792" spans="1:10" s="104" customFormat="1" ht="27" customHeight="1">
      <c r="A792" s="111"/>
      <c r="B792" s="102"/>
      <c r="C792" s="102"/>
      <c r="D792" s="102" t="s">
        <v>791</v>
      </c>
      <c r="E792" s="102"/>
      <c r="F792" s="112">
        <v>1</v>
      </c>
      <c r="G792" s="677"/>
      <c r="H792" s="113"/>
      <c r="I792" s="114"/>
      <c r="J792" s="117"/>
    </row>
    <row r="793" spans="1:10" s="104" customFormat="1" ht="13.5" customHeight="1">
      <c r="A793" s="97">
        <v>308</v>
      </c>
      <c r="B793" s="110" t="s">
        <v>775</v>
      </c>
      <c r="C793" s="98" t="s">
        <v>820</v>
      </c>
      <c r="D793" s="98" t="s">
        <v>821</v>
      </c>
      <c r="E793" s="98" t="s">
        <v>25</v>
      </c>
      <c r="F793" s="99">
        <f>F794</f>
        <v>3</v>
      </c>
      <c r="G793" s="673"/>
      <c r="H793" s="100">
        <f>F793*G793</f>
        <v>0</v>
      </c>
      <c r="J793" s="101"/>
    </row>
    <row r="794" spans="1:10" s="104" customFormat="1" ht="27" customHeight="1">
      <c r="A794" s="111"/>
      <c r="B794" s="102"/>
      <c r="C794" s="102"/>
      <c r="D794" s="102" t="s">
        <v>791</v>
      </c>
      <c r="E794" s="102"/>
      <c r="F794" s="112">
        <v>3</v>
      </c>
      <c r="G794" s="677"/>
      <c r="H794" s="113"/>
      <c r="I794" s="114"/>
      <c r="J794" s="117"/>
    </row>
    <row r="795" spans="1:10" s="104" customFormat="1" ht="13.5" customHeight="1">
      <c r="A795" s="97">
        <v>309</v>
      </c>
      <c r="B795" s="110" t="s">
        <v>775</v>
      </c>
      <c r="C795" s="98" t="s">
        <v>822</v>
      </c>
      <c r="D795" s="98" t="s">
        <v>823</v>
      </c>
      <c r="E795" s="98" t="s">
        <v>25</v>
      </c>
      <c r="F795" s="99">
        <f>F796</f>
        <v>6</v>
      </c>
      <c r="G795" s="673"/>
      <c r="H795" s="100">
        <f>F795*G795</f>
        <v>0</v>
      </c>
      <c r="J795" s="101"/>
    </row>
    <row r="796" spans="1:10" s="104" customFormat="1" ht="27" customHeight="1">
      <c r="A796" s="111"/>
      <c r="B796" s="102"/>
      <c r="C796" s="102"/>
      <c r="D796" s="102" t="s">
        <v>791</v>
      </c>
      <c r="E796" s="102"/>
      <c r="F796" s="112">
        <v>6</v>
      </c>
      <c r="G796" s="677"/>
      <c r="H796" s="113"/>
      <c r="I796" s="114"/>
      <c r="J796" s="117"/>
    </row>
    <row r="797" spans="1:10" s="104" customFormat="1" ht="13.5" customHeight="1">
      <c r="A797" s="97">
        <v>310</v>
      </c>
      <c r="B797" s="110" t="s">
        <v>775</v>
      </c>
      <c r="C797" s="98" t="s">
        <v>824</v>
      </c>
      <c r="D797" s="98" t="s">
        <v>825</v>
      </c>
      <c r="E797" s="98" t="s">
        <v>25</v>
      </c>
      <c r="F797" s="99">
        <f>F798</f>
        <v>2</v>
      </c>
      <c r="G797" s="673"/>
      <c r="H797" s="100">
        <f>F797*G797</f>
        <v>0</v>
      </c>
      <c r="J797" s="101"/>
    </row>
    <row r="798" spans="1:10" s="104" customFormat="1" ht="27" customHeight="1">
      <c r="A798" s="111"/>
      <c r="B798" s="102"/>
      <c r="C798" s="102"/>
      <c r="D798" s="102" t="s">
        <v>791</v>
      </c>
      <c r="E798" s="102"/>
      <c r="F798" s="112">
        <v>2</v>
      </c>
      <c r="G798" s="677"/>
      <c r="H798" s="113"/>
      <c r="I798" s="114"/>
      <c r="J798" s="117"/>
    </row>
    <row r="799" spans="1:10" s="104" customFormat="1" ht="13.5" customHeight="1">
      <c r="A799" s="97">
        <v>311</v>
      </c>
      <c r="B799" s="110" t="s">
        <v>775</v>
      </c>
      <c r="C799" s="98" t="s">
        <v>826</v>
      </c>
      <c r="D799" s="98" t="s">
        <v>827</v>
      </c>
      <c r="E799" s="98" t="s">
        <v>25</v>
      </c>
      <c r="F799" s="99">
        <f>F800</f>
        <v>1</v>
      </c>
      <c r="G799" s="673"/>
      <c r="H799" s="100">
        <f>F799*G799</f>
        <v>0</v>
      </c>
      <c r="J799" s="101"/>
    </row>
    <row r="800" spans="1:10" s="104" customFormat="1" ht="27" customHeight="1">
      <c r="A800" s="111"/>
      <c r="B800" s="102"/>
      <c r="C800" s="102"/>
      <c r="D800" s="102" t="s">
        <v>791</v>
      </c>
      <c r="E800" s="102"/>
      <c r="F800" s="112">
        <v>1</v>
      </c>
      <c r="G800" s="677"/>
      <c r="H800" s="113"/>
      <c r="I800" s="114"/>
      <c r="J800" s="117"/>
    </row>
    <row r="801" spans="1:10" s="104" customFormat="1" ht="13.5" customHeight="1">
      <c r="A801" s="97">
        <v>312</v>
      </c>
      <c r="B801" s="110" t="s">
        <v>775</v>
      </c>
      <c r="C801" s="98" t="s">
        <v>828</v>
      </c>
      <c r="D801" s="98" t="s">
        <v>829</v>
      </c>
      <c r="E801" s="98" t="s">
        <v>25</v>
      </c>
      <c r="F801" s="99">
        <f>F802</f>
        <v>7</v>
      </c>
      <c r="G801" s="673"/>
      <c r="H801" s="100">
        <f>F801*G801</f>
        <v>0</v>
      </c>
      <c r="J801" s="101"/>
    </row>
    <row r="802" spans="1:10" s="104" customFormat="1" ht="27" customHeight="1">
      <c r="A802" s="111"/>
      <c r="B802" s="102"/>
      <c r="C802" s="102"/>
      <c r="D802" s="102" t="s">
        <v>791</v>
      </c>
      <c r="E802" s="102"/>
      <c r="F802" s="112">
        <v>7</v>
      </c>
      <c r="G802" s="677"/>
      <c r="H802" s="113"/>
      <c r="I802" s="114"/>
      <c r="J802" s="117"/>
    </row>
    <row r="803" spans="1:10" s="104" customFormat="1" ht="13.5" customHeight="1">
      <c r="A803" s="97">
        <v>313</v>
      </c>
      <c r="B803" s="110" t="s">
        <v>775</v>
      </c>
      <c r="C803" s="98" t="s">
        <v>830</v>
      </c>
      <c r="D803" s="98" t="s">
        <v>831</v>
      </c>
      <c r="E803" s="98" t="s">
        <v>25</v>
      </c>
      <c r="F803" s="99">
        <f>F804</f>
        <v>3</v>
      </c>
      <c r="G803" s="673"/>
      <c r="H803" s="100">
        <f>F803*G803</f>
        <v>0</v>
      </c>
      <c r="J803" s="101"/>
    </row>
    <row r="804" spans="1:10" s="104" customFormat="1" ht="27" customHeight="1">
      <c r="A804" s="111"/>
      <c r="B804" s="102"/>
      <c r="C804" s="102"/>
      <c r="D804" s="102" t="s">
        <v>791</v>
      </c>
      <c r="E804" s="102"/>
      <c r="F804" s="112">
        <v>3</v>
      </c>
      <c r="G804" s="677"/>
      <c r="H804" s="113"/>
      <c r="I804" s="114"/>
      <c r="J804" s="117"/>
    </row>
    <row r="805" spans="1:10" s="104" customFormat="1" ht="13.5" customHeight="1">
      <c r="A805" s="97">
        <v>314</v>
      </c>
      <c r="B805" s="110" t="s">
        <v>775</v>
      </c>
      <c r="C805" s="98" t="s">
        <v>834</v>
      </c>
      <c r="D805" s="98" t="s">
        <v>835</v>
      </c>
      <c r="E805" s="98" t="s">
        <v>139</v>
      </c>
      <c r="F805" s="99">
        <f>F806</f>
        <v>100</v>
      </c>
      <c r="G805" s="673"/>
      <c r="H805" s="100">
        <f>F805*G805</f>
        <v>0</v>
      </c>
      <c r="J805" s="101"/>
    </row>
    <row r="806" spans="1:10" s="104" customFormat="1" ht="13.5" customHeight="1">
      <c r="A806" s="111"/>
      <c r="B806" s="102"/>
      <c r="C806" s="102"/>
      <c r="D806" s="102" t="s">
        <v>801</v>
      </c>
      <c r="E806" s="102"/>
      <c r="F806" s="112">
        <v>100</v>
      </c>
      <c r="G806" s="677"/>
      <c r="H806" s="113"/>
      <c r="I806" s="114"/>
      <c r="J806" s="117"/>
    </row>
    <row r="807" spans="1:10" s="104" customFormat="1" ht="13.5" customHeight="1">
      <c r="A807" s="97">
        <v>315</v>
      </c>
      <c r="B807" s="110" t="s">
        <v>775</v>
      </c>
      <c r="C807" s="98" t="s">
        <v>836</v>
      </c>
      <c r="D807" s="98" t="s">
        <v>837</v>
      </c>
      <c r="E807" s="98" t="s">
        <v>25</v>
      </c>
      <c r="F807" s="99">
        <f>F808</f>
        <v>4</v>
      </c>
      <c r="G807" s="673"/>
      <c r="H807" s="100">
        <f>F807*G807</f>
        <v>0</v>
      </c>
      <c r="J807" s="101"/>
    </row>
    <row r="808" spans="1:10" s="104" customFormat="1" ht="13.5" customHeight="1">
      <c r="A808" s="111"/>
      <c r="B808" s="102"/>
      <c r="C808" s="102"/>
      <c r="D808" s="102" t="s">
        <v>838</v>
      </c>
      <c r="E808" s="102"/>
      <c r="F808" s="112">
        <v>4</v>
      </c>
      <c r="G808" s="677"/>
      <c r="H808" s="113"/>
      <c r="I808" s="114"/>
      <c r="J808" s="117"/>
    </row>
    <row r="809" spans="1:10" s="104" customFormat="1" ht="13.5" customHeight="1">
      <c r="A809" s="97">
        <v>316</v>
      </c>
      <c r="B809" s="110" t="s">
        <v>775</v>
      </c>
      <c r="C809" s="98" t="s">
        <v>839</v>
      </c>
      <c r="D809" s="98" t="s">
        <v>840</v>
      </c>
      <c r="E809" s="98" t="s">
        <v>25</v>
      </c>
      <c r="F809" s="99">
        <f>F810</f>
        <v>5</v>
      </c>
      <c r="G809" s="673"/>
      <c r="H809" s="100">
        <f>F809*G809</f>
        <v>0</v>
      </c>
      <c r="J809" s="101"/>
    </row>
    <row r="810" spans="1:10" s="104" customFormat="1" ht="13.5" customHeight="1">
      <c r="A810" s="111"/>
      <c r="B810" s="102"/>
      <c r="C810" s="102"/>
      <c r="D810" s="102" t="s">
        <v>841</v>
      </c>
      <c r="E810" s="102"/>
      <c r="F810" s="112">
        <v>5</v>
      </c>
      <c r="G810" s="677"/>
      <c r="H810" s="113"/>
      <c r="I810" s="114"/>
      <c r="J810" s="117"/>
    </row>
    <row r="811" spans="1:10" s="104" customFormat="1" ht="13.5" customHeight="1">
      <c r="A811" s="111"/>
      <c r="B811" s="102"/>
      <c r="C811" s="102"/>
      <c r="D811" s="102" t="s">
        <v>801</v>
      </c>
      <c r="E811" s="102"/>
      <c r="F811" s="112"/>
      <c r="G811" s="677"/>
      <c r="H811" s="113"/>
      <c r="I811" s="114"/>
      <c r="J811" s="117"/>
    </row>
    <row r="812" spans="1:10" s="104" customFormat="1" ht="13.5" customHeight="1">
      <c r="A812" s="97">
        <v>317</v>
      </c>
      <c r="B812" s="110" t="s">
        <v>775</v>
      </c>
      <c r="C812" s="98" t="s">
        <v>842</v>
      </c>
      <c r="D812" s="98" t="s">
        <v>843</v>
      </c>
      <c r="E812" s="98" t="s">
        <v>25</v>
      </c>
      <c r="F812" s="99">
        <f>F813</f>
        <v>1</v>
      </c>
      <c r="G812" s="673"/>
      <c r="H812" s="100">
        <f>F812*G812</f>
        <v>0</v>
      </c>
      <c r="J812" s="101"/>
    </row>
    <row r="813" spans="1:10" s="104" customFormat="1" ht="13.5" customHeight="1">
      <c r="A813" s="111"/>
      <c r="B813" s="102"/>
      <c r="C813" s="102"/>
      <c r="D813" s="102" t="s">
        <v>841</v>
      </c>
      <c r="E813" s="102"/>
      <c r="F813" s="112">
        <v>1</v>
      </c>
      <c r="G813" s="677"/>
      <c r="H813" s="113"/>
      <c r="I813" s="114"/>
      <c r="J813" s="117"/>
    </row>
    <row r="814" spans="1:10" s="104" customFormat="1" ht="13.5" customHeight="1">
      <c r="A814" s="111"/>
      <c r="B814" s="102"/>
      <c r="C814" s="102"/>
      <c r="D814" s="102" t="s">
        <v>801</v>
      </c>
      <c r="E814" s="102"/>
      <c r="F814" s="112"/>
      <c r="G814" s="677"/>
      <c r="H814" s="113"/>
      <c r="I814" s="114"/>
      <c r="J814" s="117"/>
    </row>
    <row r="815" spans="1:10" s="104" customFormat="1" ht="13.5" customHeight="1">
      <c r="A815" s="97">
        <v>318</v>
      </c>
      <c r="B815" s="110" t="s">
        <v>775</v>
      </c>
      <c r="C815" s="98" t="s">
        <v>844</v>
      </c>
      <c r="D815" s="98" t="s">
        <v>845</v>
      </c>
      <c r="E815" s="98" t="s">
        <v>25</v>
      </c>
      <c r="F815" s="99">
        <f>F816</f>
        <v>10</v>
      </c>
      <c r="G815" s="673"/>
      <c r="H815" s="100">
        <f>F815*G815</f>
        <v>0</v>
      </c>
      <c r="J815" s="101"/>
    </row>
    <row r="816" spans="1:10" s="104" customFormat="1" ht="13.5" customHeight="1">
      <c r="A816" s="111"/>
      <c r="B816" s="102"/>
      <c r="C816" s="102"/>
      <c r="D816" s="102" t="s">
        <v>846</v>
      </c>
      <c r="E816" s="102"/>
      <c r="F816" s="112">
        <v>10</v>
      </c>
      <c r="G816" s="677"/>
      <c r="H816" s="113"/>
      <c r="I816" s="114"/>
      <c r="J816" s="117"/>
    </row>
    <row r="817" spans="1:10" s="104" customFormat="1" ht="28.35" customHeight="1">
      <c r="A817" s="97">
        <v>319</v>
      </c>
      <c r="B817" s="110" t="s">
        <v>775</v>
      </c>
      <c r="C817" s="98" t="s">
        <v>847</v>
      </c>
      <c r="D817" s="98" t="s">
        <v>848</v>
      </c>
      <c r="E817" s="98" t="s">
        <v>25</v>
      </c>
      <c r="F817" s="99">
        <f>F818</f>
        <v>47</v>
      </c>
      <c r="G817" s="673"/>
      <c r="H817" s="100">
        <f>F817*G817</f>
        <v>0</v>
      </c>
      <c r="J817" s="101"/>
    </row>
    <row r="818" spans="1:10" s="104" customFormat="1" ht="28.35" customHeight="1">
      <c r="A818" s="111"/>
      <c r="B818" s="102"/>
      <c r="C818" s="102"/>
      <c r="D818" s="102" t="s">
        <v>849</v>
      </c>
      <c r="E818" s="102"/>
      <c r="F818" s="112">
        <f>81-34</f>
        <v>47</v>
      </c>
      <c r="G818" s="677"/>
      <c r="H818" s="113"/>
      <c r="I818" s="114"/>
      <c r="J818" s="117"/>
    </row>
    <row r="819" spans="1:10" s="104" customFormat="1" ht="28.35" customHeight="1">
      <c r="A819" s="97">
        <v>320</v>
      </c>
      <c r="B819" s="110" t="s">
        <v>775</v>
      </c>
      <c r="C819" s="98" t="s">
        <v>850</v>
      </c>
      <c r="D819" s="98" t="s">
        <v>851</v>
      </c>
      <c r="E819" s="98" t="s">
        <v>25</v>
      </c>
      <c r="F819" s="99">
        <f>F820</f>
        <v>9</v>
      </c>
      <c r="G819" s="673"/>
      <c r="H819" s="100">
        <f>F819*G819</f>
        <v>0</v>
      </c>
      <c r="J819" s="101"/>
    </row>
    <row r="820" spans="1:10" s="104" customFormat="1" ht="36" customHeight="1">
      <c r="A820" s="111"/>
      <c r="B820" s="102"/>
      <c r="C820" s="102"/>
      <c r="D820" s="102" t="s">
        <v>852</v>
      </c>
      <c r="E820" s="102"/>
      <c r="F820" s="112">
        <f>14-5</f>
        <v>9</v>
      </c>
      <c r="G820" s="677"/>
      <c r="H820" s="113"/>
      <c r="I820" s="114"/>
      <c r="J820" s="117"/>
    </row>
    <row r="821" spans="1:10" ht="20.1" customHeight="1">
      <c r="A821" s="124"/>
      <c r="B821" s="90"/>
      <c r="C821" s="90" t="s">
        <v>853</v>
      </c>
      <c r="D821" s="90" t="s">
        <v>854</v>
      </c>
      <c r="E821" s="90"/>
      <c r="F821" s="91"/>
      <c r="G821" s="680"/>
      <c r="H821" s="92">
        <f>H822</f>
        <v>0</v>
      </c>
      <c r="J821" s="101"/>
    </row>
    <row r="822" spans="1:8" ht="15" customHeight="1">
      <c r="A822" s="125"/>
      <c r="B822" s="94"/>
      <c r="C822" s="94" t="s">
        <v>855</v>
      </c>
      <c r="D822" s="94" t="s">
        <v>856</v>
      </c>
      <c r="E822" s="94"/>
      <c r="F822" s="95"/>
      <c r="G822" s="678"/>
      <c r="H822" s="96">
        <f>SUM(H823:H824)</f>
        <v>0</v>
      </c>
    </row>
    <row r="823" spans="1:10" s="104" customFormat="1" ht="13.5" customHeight="1">
      <c r="A823" s="97">
        <v>321</v>
      </c>
      <c r="B823" s="110" t="s">
        <v>855</v>
      </c>
      <c r="C823" s="98" t="s">
        <v>857</v>
      </c>
      <c r="D823" s="98" t="s">
        <v>858</v>
      </c>
      <c r="E823" s="98" t="s">
        <v>25</v>
      </c>
      <c r="F823" s="99">
        <f>F824</f>
        <v>1</v>
      </c>
      <c r="G823" s="673"/>
      <c r="H823" s="100">
        <f>F823*G823</f>
        <v>0</v>
      </c>
      <c r="J823" s="101"/>
    </row>
    <row r="824" spans="1:10" s="104" customFormat="1" ht="27" customHeight="1">
      <c r="A824" s="111"/>
      <c r="B824" s="102"/>
      <c r="C824" s="102"/>
      <c r="D824" s="102" t="s">
        <v>859</v>
      </c>
      <c r="E824" s="102"/>
      <c r="F824" s="112">
        <v>1</v>
      </c>
      <c r="G824" s="677"/>
      <c r="H824" s="113"/>
      <c r="I824" s="114"/>
      <c r="J824" s="117"/>
    </row>
    <row r="825" spans="1:8" ht="13.5" customHeight="1">
      <c r="A825" s="126"/>
      <c r="B825" s="127"/>
      <c r="C825" s="127"/>
      <c r="D825" s="127"/>
      <c r="E825" s="127"/>
      <c r="F825" s="128"/>
      <c r="G825" s="129"/>
      <c r="H825" s="129"/>
    </row>
    <row r="826" spans="1:8" ht="15">
      <c r="A826" s="704" t="s">
        <v>860</v>
      </c>
      <c r="B826" s="704"/>
      <c r="C826" s="704"/>
      <c r="D826" s="130"/>
      <c r="E826" s="131"/>
      <c r="F826" s="132"/>
      <c r="G826" s="133"/>
      <c r="H826" s="134">
        <f>H821+H155+H8</f>
        <v>0</v>
      </c>
    </row>
    <row r="827" spans="1:8" ht="15">
      <c r="A827" s="135"/>
      <c r="B827" s="136"/>
      <c r="C827" s="136"/>
      <c r="D827" s="127"/>
      <c r="E827" s="137"/>
      <c r="F827" s="138"/>
      <c r="G827" s="139"/>
      <c r="H827" s="129"/>
    </row>
    <row r="828" spans="1:8" ht="15">
      <c r="A828" s="82" t="s">
        <v>20</v>
      </c>
      <c r="B828" s="82"/>
      <c r="C828" s="82"/>
      <c r="D828" s="82"/>
      <c r="E828" s="82"/>
      <c r="F828" s="82"/>
      <c r="G828" s="140"/>
      <c r="H828" s="82"/>
    </row>
    <row r="829" spans="1:8" ht="27" customHeight="1">
      <c r="A829" s="705" t="s">
        <v>27</v>
      </c>
      <c r="B829" s="705"/>
      <c r="C829" s="705"/>
      <c r="D829" s="705"/>
      <c r="E829" s="705"/>
      <c r="F829" s="705"/>
      <c r="G829" s="705"/>
      <c r="H829" s="82"/>
    </row>
    <row r="830" spans="1:8" ht="15">
      <c r="A830" s="80"/>
      <c r="B830" s="80"/>
      <c r="C830" s="80"/>
      <c r="D830" s="80"/>
      <c r="E830" s="80"/>
      <c r="F830" s="80"/>
      <c r="G830" s="81"/>
      <c r="H830" s="80"/>
    </row>
    <row r="831" spans="1:8" ht="15">
      <c r="A831" s="80"/>
      <c r="B831" s="80"/>
      <c r="C831" s="80"/>
      <c r="D831" s="80"/>
      <c r="E831" s="80"/>
      <c r="F831" s="80"/>
      <c r="G831" s="81"/>
      <c r="H831" s="80"/>
    </row>
  </sheetData>
  <sheetProtection password="DF1B" sheet="1" objects="1" scenarios="1"/>
  <mergeCells count="2">
    <mergeCell ref="A826:C826"/>
    <mergeCell ref="A829:G829"/>
  </mergeCells>
  <printOptions/>
  <pageMargins left="0" right="0" top="0" bottom="0" header="0" footer="0"/>
  <pageSetup fitToHeight="99" fitToWidth="1"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2"/>
  <sheetViews>
    <sheetView workbookViewId="0" topLeftCell="A1">
      <selection activeCell="G10" sqref="G10"/>
    </sheetView>
  </sheetViews>
  <sheetFormatPr defaultColWidth="8.57421875" defaultRowHeight="15"/>
  <cols>
    <col min="1" max="1" width="6.7109375" style="83" customWidth="1"/>
    <col min="2" max="2" width="4.7109375" style="83" customWidth="1"/>
    <col min="3" max="3" width="13.7109375" style="83" customWidth="1"/>
    <col min="4" max="4" width="64.7109375" style="83" customWidth="1"/>
    <col min="5" max="5" width="6.7109375" style="83" customWidth="1"/>
    <col min="6" max="6" width="8.7109375" style="83" customWidth="1"/>
    <col min="7" max="7" width="10.7109375" style="84" customWidth="1"/>
    <col min="8" max="8" width="13.7109375" style="83" customWidth="1"/>
    <col min="9" max="16384" width="8.57421875" style="83" customWidth="1"/>
  </cols>
  <sheetData>
    <row r="1" spans="1:8" ht="21">
      <c r="A1" s="74" t="s">
        <v>1453</v>
      </c>
      <c r="B1" s="75"/>
      <c r="C1" s="75"/>
      <c r="D1" s="75"/>
      <c r="E1" s="75"/>
      <c r="F1" s="75"/>
      <c r="G1" s="85"/>
      <c r="H1" s="75"/>
    </row>
    <row r="2" spans="1:8" ht="15">
      <c r="A2" s="76" t="s">
        <v>28</v>
      </c>
      <c r="B2" s="76"/>
      <c r="C2" s="432"/>
      <c r="D2" s="432"/>
      <c r="E2" s="432"/>
      <c r="F2" s="432"/>
      <c r="G2" s="431"/>
      <c r="H2" s="430"/>
    </row>
    <row r="3" spans="1:3" ht="15">
      <c r="A3" s="76" t="s">
        <v>24</v>
      </c>
      <c r="B3" s="78"/>
      <c r="C3" s="433"/>
    </row>
    <row r="4" spans="1:3" ht="15">
      <c r="A4" s="76" t="s">
        <v>29</v>
      </c>
      <c r="B4" s="78"/>
      <c r="C4" s="433"/>
    </row>
    <row r="5" spans="1:3" ht="15">
      <c r="A5" s="76"/>
      <c r="B5" s="78"/>
      <c r="C5" s="433"/>
    </row>
    <row r="6" spans="1:8" ht="21.6">
      <c r="A6" s="434" t="s">
        <v>30</v>
      </c>
      <c r="B6" s="435" t="s">
        <v>31</v>
      </c>
      <c r="C6" s="435" t="s">
        <v>32</v>
      </c>
      <c r="D6" s="435" t="s">
        <v>33</v>
      </c>
      <c r="E6" s="435" t="s">
        <v>34</v>
      </c>
      <c r="F6" s="435" t="s">
        <v>35</v>
      </c>
      <c r="G6" s="436" t="s">
        <v>36</v>
      </c>
      <c r="H6" s="435" t="s">
        <v>15</v>
      </c>
    </row>
    <row r="7" spans="1:8" ht="15">
      <c r="A7" s="434" t="s">
        <v>37</v>
      </c>
      <c r="B7" s="435" t="s">
        <v>38</v>
      </c>
      <c r="C7" s="435" t="s">
        <v>39</v>
      </c>
      <c r="D7" s="435" t="s">
        <v>40</v>
      </c>
      <c r="E7" s="435" t="s">
        <v>41</v>
      </c>
      <c r="F7" s="435" t="s">
        <v>42</v>
      </c>
      <c r="G7" s="436" t="s">
        <v>43</v>
      </c>
      <c r="H7" s="435">
        <v>8</v>
      </c>
    </row>
    <row r="8" spans="1:8" ht="20.1" customHeight="1">
      <c r="A8" s="437"/>
      <c r="B8" s="438"/>
      <c r="C8" s="438" t="s">
        <v>44</v>
      </c>
      <c r="D8" s="438" t="s">
        <v>45</v>
      </c>
      <c r="E8" s="438"/>
      <c r="F8" s="439"/>
      <c r="G8" s="440"/>
      <c r="H8" s="440">
        <f>H9+H27+H32+H58</f>
        <v>0</v>
      </c>
    </row>
    <row r="9" spans="1:8" ht="15" customHeight="1">
      <c r="A9" s="441"/>
      <c r="B9" s="442"/>
      <c r="C9" s="442">
        <v>1</v>
      </c>
      <c r="D9" s="442" t="s">
        <v>46</v>
      </c>
      <c r="E9" s="442"/>
      <c r="F9" s="443"/>
      <c r="G9" s="444"/>
      <c r="H9" s="444">
        <f>SUM(H10:H26)</f>
        <v>0</v>
      </c>
    </row>
    <row r="10" spans="1:8" s="123" customFormat="1" ht="13.5" customHeight="1">
      <c r="A10" s="445">
        <v>1</v>
      </c>
      <c r="B10" s="446">
        <v>113</v>
      </c>
      <c r="C10" s="446">
        <v>113106111</v>
      </c>
      <c r="D10" s="446" t="s">
        <v>47</v>
      </c>
      <c r="E10" s="446" t="s">
        <v>48</v>
      </c>
      <c r="F10" s="447">
        <f>F11</f>
        <v>119</v>
      </c>
      <c r="G10" s="673"/>
      <c r="H10" s="448">
        <f>F10*G10</f>
        <v>0</v>
      </c>
    </row>
    <row r="11" spans="1:10" s="114" customFormat="1" ht="13.5" customHeight="1">
      <c r="A11" s="445"/>
      <c r="B11" s="446"/>
      <c r="C11" s="446"/>
      <c r="D11" s="449" t="s">
        <v>49</v>
      </c>
      <c r="E11" s="446"/>
      <c r="F11" s="450">
        <v>119</v>
      </c>
      <c r="G11" s="673"/>
      <c r="H11" s="448"/>
      <c r="J11" s="123"/>
    </row>
    <row r="12" spans="1:8" s="123" customFormat="1" ht="13.5" customHeight="1">
      <c r="A12" s="445">
        <v>2</v>
      </c>
      <c r="B12" s="446">
        <v>131</v>
      </c>
      <c r="C12" s="446">
        <v>131201102</v>
      </c>
      <c r="D12" s="446" t="s">
        <v>50</v>
      </c>
      <c r="E12" s="446" t="s">
        <v>51</v>
      </c>
      <c r="F12" s="447">
        <f>F13</f>
        <v>23</v>
      </c>
      <c r="G12" s="673"/>
      <c r="H12" s="448">
        <f>F12*G12</f>
        <v>0</v>
      </c>
    </row>
    <row r="13" spans="1:10" s="114" customFormat="1" ht="13.5" customHeight="1">
      <c r="A13" s="445"/>
      <c r="B13" s="446"/>
      <c r="C13" s="446"/>
      <c r="D13" s="449" t="s">
        <v>52</v>
      </c>
      <c r="E13" s="446"/>
      <c r="F13" s="450">
        <v>23</v>
      </c>
      <c r="G13" s="673"/>
      <c r="H13" s="448"/>
      <c r="J13" s="123"/>
    </row>
    <row r="14" spans="1:8" s="123" customFormat="1" ht="13.5" customHeight="1">
      <c r="A14" s="445">
        <v>3</v>
      </c>
      <c r="B14" s="446">
        <v>151</v>
      </c>
      <c r="C14" s="446">
        <v>151101201</v>
      </c>
      <c r="D14" s="446" t="s">
        <v>53</v>
      </c>
      <c r="E14" s="446" t="s">
        <v>48</v>
      </c>
      <c r="F14" s="447">
        <v>52</v>
      </c>
      <c r="G14" s="673"/>
      <c r="H14" s="448">
        <f>F14*G14</f>
        <v>0</v>
      </c>
    </row>
    <row r="15" spans="1:8" s="123" customFormat="1" ht="13.5" customHeight="1">
      <c r="A15" s="445">
        <v>4</v>
      </c>
      <c r="B15" s="446">
        <v>151</v>
      </c>
      <c r="C15" s="446">
        <v>151101211</v>
      </c>
      <c r="D15" s="446" t="s">
        <v>54</v>
      </c>
      <c r="E15" s="446" t="s">
        <v>48</v>
      </c>
      <c r="F15" s="447">
        <v>52</v>
      </c>
      <c r="G15" s="673"/>
      <c r="H15" s="448">
        <f>F15*G15</f>
        <v>0</v>
      </c>
    </row>
    <row r="16" spans="1:8" s="123" customFormat="1" ht="13.5" customHeight="1">
      <c r="A16" s="445">
        <v>5</v>
      </c>
      <c r="B16" s="446">
        <v>151</v>
      </c>
      <c r="C16" s="446">
        <v>151101301</v>
      </c>
      <c r="D16" s="446" t="s">
        <v>55</v>
      </c>
      <c r="E16" s="446" t="s">
        <v>51</v>
      </c>
      <c r="F16" s="447">
        <v>23</v>
      </c>
      <c r="G16" s="673"/>
      <c r="H16" s="448">
        <f>F16*G16</f>
        <v>0</v>
      </c>
    </row>
    <row r="17" spans="1:8" s="123" customFormat="1" ht="13.5" customHeight="1">
      <c r="A17" s="445">
        <v>6</v>
      </c>
      <c r="B17" s="446">
        <v>151</v>
      </c>
      <c r="C17" s="446">
        <v>151101311</v>
      </c>
      <c r="D17" s="446" t="s">
        <v>56</v>
      </c>
      <c r="E17" s="446" t="s">
        <v>51</v>
      </c>
      <c r="F17" s="447">
        <f>F16</f>
        <v>23</v>
      </c>
      <c r="G17" s="673"/>
      <c r="H17" s="448">
        <f>F17*G17</f>
        <v>0</v>
      </c>
    </row>
    <row r="18" spans="1:8" s="123" customFormat="1" ht="13.5" customHeight="1">
      <c r="A18" s="445">
        <v>7</v>
      </c>
      <c r="B18" s="446">
        <v>161</v>
      </c>
      <c r="C18" s="446">
        <v>161101101</v>
      </c>
      <c r="D18" s="446" t="s">
        <v>57</v>
      </c>
      <c r="E18" s="446" t="s">
        <v>51</v>
      </c>
      <c r="F18" s="447">
        <f>F19</f>
        <v>23</v>
      </c>
      <c r="G18" s="673"/>
      <c r="H18" s="448">
        <f>F18*G18</f>
        <v>0</v>
      </c>
    </row>
    <row r="19" spans="1:10" s="114" customFormat="1" ht="40.5" customHeight="1">
      <c r="A19" s="445"/>
      <c r="B19" s="446"/>
      <c r="C19" s="446"/>
      <c r="D19" s="449" t="s">
        <v>58</v>
      </c>
      <c r="E19" s="446"/>
      <c r="F19" s="450">
        <f>F12</f>
        <v>23</v>
      </c>
      <c r="G19" s="673"/>
      <c r="H19" s="448"/>
      <c r="J19" s="123"/>
    </row>
    <row r="20" spans="1:8" s="123" customFormat="1" ht="13.5" customHeight="1">
      <c r="A20" s="445">
        <v>8</v>
      </c>
      <c r="B20" s="446">
        <v>162</v>
      </c>
      <c r="C20" s="446">
        <v>162201102</v>
      </c>
      <c r="D20" s="446" t="s">
        <v>59</v>
      </c>
      <c r="E20" s="446" t="s">
        <v>51</v>
      </c>
      <c r="F20" s="447">
        <f>F21</f>
        <v>23</v>
      </c>
      <c r="G20" s="673"/>
      <c r="H20" s="448">
        <f>F20*G20</f>
        <v>0</v>
      </c>
    </row>
    <row r="21" spans="1:10" s="114" customFormat="1" ht="40.5" customHeight="1">
      <c r="A21" s="445"/>
      <c r="B21" s="446"/>
      <c r="C21" s="446"/>
      <c r="D21" s="449" t="s">
        <v>60</v>
      </c>
      <c r="E21" s="446"/>
      <c r="F21" s="450">
        <f>F12</f>
        <v>23</v>
      </c>
      <c r="G21" s="673"/>
      <c r="H21" s="448"/>
      <c r="J21" s="123"/>
    </row>
    <row r="22" spans="1:8" s="123" customFormat="1" ht="13.5" customHeight="1">
      <c r="A22" s="445">
        <v>9</v>
      </c>
      <c r="B22" s="446">
        <v>171</v>
      </c>
      <c r="C22" s="446">
        <v>171201101</v>
      </c>
      <c r="D22" s="446" t="s">
        <v>61</v>
      </c>
      <c r="E22" s="446" t="s">
        <v>51</v>
      </c>
      <c r="F22" s="447">
        <f>F23</f>
        <v>23</v>
      </c>
      <c r="G22" s="673"/>
      <c r="H22" s="448">
        <f>F22*G22</f>
        <v>0</v>
      </c>
    </row>
    <row r="23" spans="1:10" s="114" customFormat="1" ht="27" customHeight="1">
      <c r="A23" s="445"/>
      <c r="B23" s="446"/>
      <c r="C23" s="446"/>
      <c r="D23" s="449" t="s">
        <v>62</v>
      </c>
      <c r="E23" s="446"/>
      <c r="F23" s="450">
        <f>F12</f>
        <v>23</v>
      </c>
      <c r="G23" s="673"/>
      <c r="H23" s="448"/>
      <c r="J23" s="123"/>
    </row>
    <row r="24" spans="1:8" s="123" customFormat="1" ht="13.5" customHeight="1">
      <c r="A24" s="445">
        <v>10</v>
      </c>
      <c r="B24" s="446">
        <v>174</v>
      </c>
      <c r="C24" s="446">
        <v>174101101</v>
      </c>
      <c r="D24" s="446" t="s">
        <v>63</v>
      </c>
      <c r="E24" s="446" t="s">
        <v>51</v>
      </c>
      <c r="F24" s="447">
        <f>F25</f>
        <v>23</v>
      </c>
      <c r="G24" s="673"/>
      <c r="H24" s="448">
        <f>F24*G24</f>
        <v>0</v>
      </c>
    </row>
    <row r="25" spans="1:10" s="114" customFormat="1" ht="27" customHeight="1">
      <c r="A25" s="445"/>
      <c r="B25" s="446"/>
      <c r="C25" s="446"/>
      <c r="D25" s="449" t="s">
        <v>64</v>
      </c>
      <c r="E25" s="446"/>
      <c r="F25" s="450">
        <f>F12</f>
        <v>23</v>
      </c>
      <c r="G25" s="673"/>
      <c r="H25" s="448"/>
      <c r="J25" s="123"/>
    </row>
    <row r="26" spans="1:8" s="109" customFormat="1" ht="13.5" customHeight="1">
      <c r="A26" s="451">
        <v>11</v>
      </c>
      <c r="B26" s="452">
        <v>583</v>
      </c>
      <c r="C26" s="452">
        <v>58343930</v>
      </c>
      <c r="D26" s="452" t="s">
        <v>65</v>
      </c>
      <c r="E26" s="452" t="s">
        <v>66</v>
      </c>
      <c r="F26" s="453">
        <v>13</v>
      </c>
      <c r="G26" s="679"/>
      <c r="H26" s="454">
        <f>F26*G26</f>
        <v>0</v>
      </c>
    </row>
    <row r="27" spans="1:8" ht="15" customHeight="1">
      <c r="A27" s="441"/>
      <c r="B27" s="442"/>
      <c r="C27" s="442">
        <v>5</v>
      </c>
      <c r="D27" s="442" t="s">
        <v>109</v>
      </c>
      <c r="E27" s="442"/>
      <c r="F27" s="443"/>
      <c r="G27" s="678"/>
      <c r="H27" s="444">
        <f>SUM(H28:H31)</f>
        <v>0</v>
      </c>
    </row>
    <row r="28" spans="1:10" s="114" customFormat="1" ht="13.5" customHeight="1">
      <c r="A28" s="445">
        <v>25</v>
      </c>
      <c r="B28" s="455">
        <v>591</v>
      </c>
      <c r="C28" s="446">
        <v>591411111</v>
      </c>
      <c r="D28" s="446" t="s">
        <v>110</v>
      </c>
      <c r="E28" s="446" t="s">
        <v>48</v>
      </c>
      <c r="F28" s="447">
        <f>F29</f>
        <v>119</v>
      </c>
      <c r="G28" s="673"/>
      <c r="H28" s="448">
        <f>F28*G28</f>
        <v>0</v>
      </c>
      <c r="J28" s="123"/>
    </row>
    <row r="29" spans="1:10" s="114" customFormat="1" ht="13.5" customHeight="1">
      <c r="A29" s="445"/>
      <c r="B29" s="446"/>
      <c r="C29" s="446"/>
      <c r="D29" s="449" t="s">
        <v>111</v>
      </c>
      <c r="E29" s="446"/>
      <c r="F29" s="450">
        <v>119</v>
      </c>
      <c r="G29" s="673"/>
      <c r="H29" s="448"/>
      <c r="J29" s="123"/>
    </row>
    <row r="30" spans="1:10" s="116" customFormat="1" ht="13.5" customHeight="1">
      <c r="A30" s="451">
        <v>26</v>
      </c>
      <c r="B30" s="456">
        <v>583</v>
      </c>
      <c r="C30" s="452">
        <v>58381004</v>
      </c>
      <c r="D30" s="452" t="s">
        <v>112</v>
      </c>
      <c r="E30" s="452" t="s">
        <v>48</v>
      </c>
      <c r="F30" s="453">
        <f>F31</f>
        <v>33</v>
      </c>
      <c r="G30" s="679"/>
      <c r="H30" s="454">
        <f>F30*G30</f>
        <v>0</v>
      </c>
      <c r="J30" s="109"/>
    </row>
    <row r="31" spans="1:10" s="114" customFormat="1" ht="13.5" customHeight="1">
      <c r="A31" s="445"/>
      <c r="B31" s="446"/>
      <c r="C31" s="446"/>
      <c r="D31" s="449" t="s">
        <v>113</v>
      </c>
      <c r="E31" s="446"/>
      <c r="F31" s="450">
        <v>33</v>
      </c>
      <c r="G31" s="673"/>
      <c r="H31" s="448"/>
      <c r="J31" s="123"/>
    </row>
    <row r="32" spans="1:8" ht="15" customHeight="1">
      <c r="A32" s="441"/>
      <c r="B32" s="442"/>
      <c r="C32" s="442">
        <v>9</v>
      </c>
      <c r="D32" s="442" t="s">
        <v>136</v>
      </c>
      <c r="E32" s="442"/>
      <c r="F32" s="443"/>
      <c r="G32" s="678"/>
      <c r="H32" s="444">
        <f>SUM(H33:H57)</f>
        <v>0</v>
      </c>
    </row>
    <row r="33" spans="1:10" s="114" customFormat="1" ht="27" customHeight="1">
      <c r="A33" s="445">
        <v>37</v>
      </c>
      <c r="B33" s="455">
        <v>941</v>
      </c>
      <c r="C33" s="446">
        <v>941121112</v>
      </c>
      <c r="D33" s="446" t="s">
        <v>140</v>
      </c>
      <c r="E33" s="446" t="s">
        <v>48</v>
      </c>
      <c r="F33" s="447">
        <f>F34</f>
        <v>900</v>
      </c>
      <c r="G33" s="673"/>
      <c r="H33" s="448">
        <f>F33*G33</f>
        <v>0</v>
      </c>
      <c r="J33" s="123"/>
    </row>
    <row r="34" spans="1:10" s="114" customFormat="1" ht="27" customHeight="1">
      <c r="A34" s="445"/>
      <c r="B34" s="446"/>
      <c r="C34" s="446"/>
      <c r="D34" s="449" t="s">
        <v>141</v>
      </c>
      <c r="E34" s="446"/>
      <c r="F34" s="450">
        <v>900</v>
      </c>
      <c r="G34" s="673"/>
      <c r="H34" s="448"/>
      <c r="J34" s="123"/>
    </row>
    <row r="35" spans="1:10" s="114" customFormat="1" ht="27" customHeight="1">
      <c r="A35" s="445">
        <v>38</v>
      </c>
      <c r="B35" s="455">
        <v>941</v>
      </c>
      <c r="C35" s="446">
        <v>941121212</v>
      </c>
      <c r="D35" s="446" t="s">
        <v>142</v>
      </c>
      <c r="E35" s="446" t="s">
        <v>48</v>
      </c>
      <c r="F35" s="447">
        <f>F36</f>
        <v>81000</v>
      </c>
      <c r="G35" s="673"/>
      <c r="H35" s="448">
        <f>F35*G35</f>
        <v>0</v>
      </c>
      <c r="J35" s="123"/>
    </row>
    <row r="36" spans="1:10" s="114" customFormat="1" ht="13.5" customHeight="1">
      <c r="A36" s="445"/>
      <c r="B36" s="446"/>
      <c r="C36" s="446"/>
      <c r="D36" s="449" t="s">
        <v>143</v>
      </c>
      <c r="E36" s="446"/>
      <c r="F36" s="450">
        <v>81000</v>
      </c>
      <c r="G36" s="673"/>
      <c r="H36" s="448"/>
      <c r="J36" s="123"/>
    </row>
    <row r="37" spans="1:10" s="114" customFormat="1" ht="27" customHeight="1">
      <c r="A37" s="445">
        <v>39</v>
      </c>
      <c r="B37" s="455" t="s">
        <v>144</v>
      </c>
      <c r="C37" s="446">
        <v>941121812</v>
      </c>
      <c r="D37" s="446" t="s">
        <v>145</v>
      </c>
      <c r="E37" s="446" t="s">
        <v>48</v>
      </c>
      <c r="F37" s="447">
        <f>F33</f>
        <v>900</v>
      </c>
      <c r="G37" s="673"/>
      <c r="H37" s="448">
        <f>F37*G37</f>
        <v>0</v>
      </c>
      <c r="J37" s="123"/>
    </row>
    <row r="38" spans="1:10" s="114" customFormat="1" ht="27" customHeight="1">
      <c r="A38" s="445"/>
      <c r="B38" s="446"/>
      <c r="C38" s="446"/>
      <c r="D38" s="449" t="s">
        <v>146</v>
      </c>
      <c r="E38" s="446"/>
      <c r="F38" s="450"/>
      <c r="G38" s="673"/>
      <c r="H38" s="448"/>
      <c r="J38" s="123"/>
    </row>
    <row r="39" spans="1:10" s="114" customFormat="1" ht="13.5" customHeight="1">
      <c r="A39" s="445">
        <v>40</v>
      </c>
      <c r="B39" s="455">
        <v>944</v>
      </c>
      <c r="C39" s="446">
        <v>944511111</v>
      </c>
      <c r="D39" s="446" t="s">
        <v>147</v>
      </c>
      <c r="E39" s="446" t="s">
        <v>48</v>
      </c>
      <c r="F39" s="447">
        <f>F40</f>
        <v>900</v>
      </c>
      <c r="G39" s="673"/>
      <c r="H39" s="448">
        <f>F39*G39</f>
        <v>0</v>
      </c>
      <c r="J39" s="123"/>
    </row>
    <row r="40" spans="1:10" s="114" customFormat="1" ht="13.5" customHeight="1">
      <c r="A40" s="457"/>
      <c r="B40" s="449"/>
      <c r="C40" s="449"/>
      <c r="D40" s="449" t="s">
        <v>148</v>
      </c>
      <c r="E40" s="449"/>
      <c r="F40" s="458">
        <f>F33</f>
        <v>900</v>
      </c>
      <c r="G40" s="677"/>
      <c r="H40" s="459"/>
      <c r="J40" s="117"/>
    </row>
    <row r="41" spans="1:10" s="114" customFormat="1" ht="13.5" customHeight="1">
      <c r="A41" s="445">
        <v>41</v>
      </c>
      <c r="B41" s="455">
        <v>944</v>
      </c>
      <c r="C41" s="446">
        <v>944511211</v>
      </c>
      <c r="D41" s="446" t="s">
        <v>149</v>
      </c>
      <c r="E41" s="446" t="s">
        <v>48</v>
      </c>
      <c r="F41" s="447">
        <f>F42</f>
        <v>81000</v>
      </c>
      <c r="G41" s="673"/>
      <c r="H41" s="448">
        <f>F41*G41</f>
        <v>0</v>
      </c>
      <c r="J41" s="123"/>
    </row>
    <row r="42" spans="1:10" s="114" customFormat="1" ht="13.5" customHeight="1">
      <c r="A42" s="457"/>
      <c r="B42" s="449"/>
      <c r="C42" s="449"/>
      <c r="D42" s="449" t="s">
        <v>143</v>
      </c>
      <c r="E42" s="449"/>
      <c r="F42" s="458">
        <v>81000</v>
      </c>
      <c r="G42" s="677"/>
      <c r="H42" s="459"/>
      <c r="J42" s="117"/>
    </row>
    <row r="43" spans="1:10" s="114" customFormat="1" ht="13.5" customHeight="1">
      <c r="A43" s="445">
        <v>42</v>
      </c>
      <c r="B43" s="455">
        <v>944</v>
      </c>
      <c r="C43" s="446">
        <v>944511811</v>
      </c>
      <c r="D43" s="446" t="s">
        <v>150</v>
      </c>
      <c r="E43" s="446" t="s">
        <v>48</v>
      </c>
      <c r="F43" s="447">
        <f>F39</f>
        <v>900</v>
      </c>
      <c r="G43" s="673"/>
      <c r="H43" s="448">
        <f>F43*G43</f>
        <v>0</v>
      </c>
      <c r="J43" s="123"/>
    </row>
    <row r="44" spans="1:10" s="114" customFormat="1" ht="13.5" customHeight="1">
      <c r="A44" s="445">
        <v>43</v>
      </c>
      <c r="B44" s="455">
        <v>944</v>
      </c>
      <c r="C44" s="446">
        <v>944711112</v>
      </c>
      <c r="D44" s="446" t="s">
        <v>151</v>
      </c>
      <c r="E44" s="446" t="s">
        <v>139</v>
      </c>
      <c r="F44" s="447">
        <f>F45</f>
        <v>20</v>
      </c>
      <c r="G44" s="673"/>
      <c r="H44" s="448">
        <f>F44*G44</f>
        <v>0</v>
      </c>
      <c r="J44" s="123"/>
    </row>
    <row r="45" spans="1:10" s="114" customFormat="1" ht="27" customHeight="1">
      <c r="A45" s="445"/>
      <c r="B45" s="446"/>
      <c r="C45" s="446"/>
      <c r="D45" s="449" t="s">
        <v>152</v>
      </c>
      <c r="E45" s="446"/>
      <c r="F45" s="450">
        <v>20</v>
      </c>
      <c r="G45" s="673"/>
      <c r="H45" s="448"/>
      <c r="J45" s="123"/>
    </row>
    <row r="46" spans="1:10" s="114" customFormat="1" ht="13.5" customHeight="1">
      <c r="A46" s="445">
        <v>44</v>
      </c>
      <c r="B46" s="455">
        <v>944</v>
      </c>
      <c r="C46" s="446">
        <v>944711212</v>
      </c>
      <c r="D46" s="446" t="s">
        <v>153</v>
      </c>
      <c r="E46" s="446" t="s">
        <v>139</v>
      </c>
      <c r="F46" s="447">
        <f>F47</f>
        <v>1800</v>
      </c>
      <c r="G46" s="673"/>
      <c r="H46" s="448">
        <f>F46*G46</f>
        <v>0</v>
      </c>
      <c r="J46" s="123"/>
    </row>
    <row r="47" spans="1:10" s="114" customFormat="1" ht="13.5" customHeight="1">
      <c r="A47" s="457"/>
      <c r="B47" s="449"/>
      <c r="C47" s="449"/>
      <c r="D47" s="449" t="s">
        <v>154</v>
      </c>
      <c r="E47" s="449"/>
      <c r="F47" s="458">
        <v>1800</v>
      </c>
      <c r="G47" s="677"/>
      <c r="H47" s="459"/>
      <c r="J47" s="117"/>
    </row>
    <row r="48" spans="1:10" s="114" customFormat="1" ht="13.5" customHeight="1">
      <c r="A48" s="445">
        <v>45</v>
      </c>
      <c r="B48" s="455">
        <v>944</v>
      </c>
      <c r="C48" s="446">
        <v>944711812</v>
      </c>
      <c r="D48" s="446" t="s">
        <v>155</v>
      </c>
      <c r="E48" s="446" t="s">
        <v>139</v>
      </c>
      <c r="F48" s="447">
        <f>F44</f>
        <v>20</v>
      </c>
      <c r="G48" s="673"/>
      <c r="H48" s="448">
        <f>F48*G48</f>
        <v>0</v>
      </c>
      <c r="J48" s="123"/>
    </row>
    <row r="49" spans="1:10" s="114" customFormat="1" ht="27" customHeight="1">
      <c r="A49" s="445">
        <v>53</v>
      </c>
      <c r="B49" s="455">
        <v>966</v>
      </c>
      <c r="C49" s="446">
        <v>966073123</v>
      </c>
      <c r="D49" s="446" t="s">
        <v>173</v>
      </c>
      <c r="E49" s="446" t="s">
        <v>48</v>
      </c>
      <c r="F49" s="447">
        <f>SUM(F50:F50)</f>
        <v>66.6</v>
      </c>
      <c r="G49" s="673"/>
      <c r="H49" s="448">
        <f>F49*G49</f>
        <v>0</v>
      </c>
      <c r="J49" s="123"/>
    </row>
    <row r="50" spans="1:10" s="114" customFormat="1" ht="13.5" customHeight="1">
      <c r="A50" s="457"/>
      <c r="B50" s="449"/>
      <c r="C50" s="449"/>
      <c r="D50" s="449" t="s">
        <v>1376</v>
      </c>
      <c r="E50" s="449"/>
      <c r="F50" s="458">
        <v>66.6</v>
      </c>
      <c r="G50" s="677"/>
      <c r="H50" s="459"/>
      <c r="J50" s="117"/>
    </row>
    <row r="51" spans="1:10" s="114" customFormat="1" ht="13.5" customHeight="1">
      <c r="A51" s="445">
        <v>58</v>
      </c>
      <c r="B51" s="455">
        <v>978</v>
      </c>
      <c r="C51" s="446">
        <v>978036191</v>
      </c>
      <c r="D51" s="446" t="s">
        <v>183</v>
      </c>
      <c r="E51" s="446" t="s">
        <v>48</v>
      </c>
      <c r="F51" s="447">
        <f>SUM(F52:F53)</f>
        <v>105.2</v>
      </c>
      <c r="G51" s="673"/>
      <c r="H51" s="448">
        <f>F51*G51</f>
        <v>0</v>
      </c>
      <c r="J51" s="123"/>
    </row>
    <row r="52" spans="1:10" s="114" customFormat="1" ht="13.5" customHeight="1">
      <c r="A52" s="457"/>
      <c r="B52" s="449"/>
      <c r="C52" s="449"/>
      <c r="D52" s="449" t="s">
        <v>1377</v>
      </c>
      <c r="E52" s="449"/>
      <c r="F52" s="458">
        <v>17.8</v>
      </c>
      <c r="G52" s="677"/>
      <c r="H52" s="459"/>
      <c r="J52" s="117"/>
    </row>
    <row r="53" spans="1:10" s="114" customFormat="1" ht="27" customHeight="1">
      <c r="A53" s="457"/>
      <c r="B53" s="449"/>
      <c r="C53" s="449"/>
      <c r="D53" s="449" t="s">
        <v>1378</v>
      </c>
      <c r="E53" s="449"/>
      <c r="F53" s="458">
        <v>87.4</v>
      </c>
      <c r="G53" s="677"/>
      <c r="H53" s="459"/>
      <c r="J53" s="117"/>
    </row>
    <row r="54" spans="1:10" s="114" customFormat="1" ht="27" customHeight="1">
      <c r="A54" s="445">
        <v>59</v>
      </c>
      <c r="B54" s="455">
        <v>978</v>
      </c>
      <c r="C54" s="446">
        <v>978071421</v>
      </c>
      <c r="D54" s="446" t="s">
        <v>188</v>
      </c>
      <c r="E54" s="446" t="s">
        <v>48</v>
      </c>
      <c r="F54" s="447">
        <f>SUM(F55:F55)</f>
        <v>126.9</v>
      </c>
      <c r="G54" s="673"/>
      <c r="H54" s="448">
        <f>F54*G54</f>
        <v>0</v>
      </c>
      <c r="J54" s="123"/>
    </row>
    <row r="55" spans="1:10" s="114" customFormat="1" ht="13.5" customHeight="1">
      <c r="A55" s="457"/>
      <c r="B55" s="449"/>
      <c r="C55" s="449"/>
      <c r="D55" s="449" t="s">
        <v>1379</v>
      </c>
      <c r="E55" s="449"/>
      <c r="F55" s="458">
        <v>126.9</v>
      </c>
      <c r="G55" s="677"/>
      <c r="H55" s="459"/>
      <c r="J55" s="117"/>
    </row>
    <row r="56" spans="1:10" s="114" customFormat="1" ht="13.5" customHeight="1">
      <c r="A56" s="445">
        <v>61</v>
      </c>
      <c r="B56" s="455">
        <v>997</v>
      </c>
      <c r="C56" s="446" t="s">
        <v>193</v>
      </c>
      <c r="D56" s="446" t="s">
        <v>194</v>
      </c>
      <c r="E56" s="446" t="s">
        <v>66</v>
      </c>
      <c r="F56" s="447">
        <f>F57</f>
        <v>220</v>
      </c>
      <c r="G56" s="673"/>
      <c r="H56" s="448">
        <f>F56*G56</f>
        <v>0</v>
      </c>
      <c r="J56" s="123"/>
    </row>
    <row r="57" spans="1:8" ht="40.5" customHeight="1">
      <c r="A57" s="460"/>
      <c r="B57" s="461"/>
      <c r="C57" s="462"/>
      <c r="D57" s="449" t="s">
        <v>195</v>
      </c>
      <c r="E57" s="449"/>
      <c r="F57" s="450">
        <v>220</v>
      </c>
      <c r="G57" s="673"/>
      <c r="H57" s="448"/>
    </row>
    <row r="58" spans="1:8" ht="15" customHeight="1">
      <c r="A58" s="441"/>
      <c r="B58" s="442"/>
      <c r="C58" s="442" t="s">
        <v>196</v>
      </c>
      <c r="D58" s="442" t="s">
        <v>197</v>
      </c>
      <c r="E58" s="442"/>
      <c r="F58" s="443"/>
      <c r="G58" s="678"/>
      <c r="H58" s="444">
        <f>SUM(H59:H59)</f>
        <v>0</v>
      </c>
    </row>
    <row r="59" spans="1:10" s="114" customFormat="1" ht="13.5" customHeight="1">
      <c r="A59" s="445">
        <v>62</v>
      </c>
      <c r="B59" s="446">
        <v>998</v>
      </c>
      <c r="C59" s="446">
        <v>998011002</v>
      </c>
      <c r="D59" s="446" t="s">
        <v>198</v>
      </c>
      <c r="E59" s="446" t="s">
        <v>66</v>
      </c>
      <c r="F59" s="447">
        <v>100</v>
      </c>
      <c r="G59" s="673"/>
      <c r="H59" s="448">
        <f>F59*G59</f>
        <v>0</v>
      </c>
      <c r="J59" s="123"/>
    </row>
    <row r="60" spans="1:10" ht="20.1" customHeight="1">
      <c r="A60" s="437"/>
      <c r="B60" s="438"/>
      <c r="C60" s="438" t="s">
        <v>204</v>
      </c>
      <c r="D60" s="438" t="s">
        <v>205</v>
      </c>
      <c r="E60" s="438"/>
      <c r="F60" s="439"/>
      <c r="G60" s="680"/>
      <c r="H60" s="440">
        <f>H61+H66+H80+H96+H105+H131+H146+H182+H187+H199+H207</f>
        <v>0</v>
      </c>
      <c r="J60" s="123"/>
    </row>
    <row r="61" spans="1:8" ht="15" customHeight="1">
      <c r="A61" s="441"/>
      <c r="B61" s="442"/>
      <c r="C61" s="442">
        <v>711</v>
      </c>
      <c r="D61" s="442" t="s">
        <v>206</v>
      </c>
      <c r="E61" s="442"/>
      <c r="F61" s="443"/>
      <c r="G61" s="678"/>
      <c r="H61" s="444">
        <f>SUM(H62:H65)</f>
        <v>0</v>
      </c>
    </row>
    <row r="62" spans="1:10" s="114" customFormat="1" ht="13.5" customHeight="1">
      <c r="A62" s="445">
        <v>65</v>
      </c>
      <c r="B62" s="446">
        <v>711</v>
      </c>
      <c r="C62" s="446" t="s">
        <v>207</v>
      </c>
      <c r="D62" s="446" t="s">
        <v>208</v>
      </c>
      <c r="E62" s="446" t="s">
        <v>48</v>
      </c>
      <c r="F62" s="447">
        <f>SUM(F63:F64)</f>
        <v>1571.6</v>
      </c>
      <c r="G62" s="673"/>
      <c r="H62" s="448">
        <f>F62*G62</f>
        <v>0</v>
      </c>
      <c r="J62" s="123"/>
    </row>
    <row r="63" spans="1:10" s="114" customFormat="1" ht="13.5" customHeight="1">
      <c r="A63" s="457"/>
      <c r="B63" s="449"/>
      <c r="C63" s="449"/>
      <c r="D63" s="449" t="s">
        <v>1380</v>
      </c>
      <c r="E63" s="449"/>
      <c r="F63" s="458">
        <v>66.6</v>
      </c>
      <c r="G63" s="677"/>
      <c r="H63" s="459"/>
      <c r="J63" s="117"/>
    </row>
    <row r="64" spans="1:10" s="114" customFormat="1" ht="27" customHeight="1">
      <c r="A64" s="457"/>
      <c r="B64" s="449"/>
      <c r="C64" s="449"/>
      <c r="D64" s="449" t="s">
        <v>1381</v>
      </c>
      <c r="E64" s="449"/>
      <c r="F64" s="458">
        <v>1505</v>
      </c>
      <c r="G64" s="677"/>
      <c r="H64" s="459"/>
      <c r="J64" s="117"/>
    </row>
    <row r="65" spans="1:10" s="114" customFormat="1" ht="13.5" customHeight="1">
      <c r="A65" s="445">
        <v>66</v>
      </c>
      <c r="B65" s="446">
        <v>998</v>
      </c>
      <c r="C65" s="446">
        <v>998711202</v>
      </c>
      <c r="D65" s="446" t="s">
        <v>210</v>
      </c>
      <c r="E65" s="446" t="s">
        <v>10</v>
      </c>
      <c r="F65" s="447">
        <v>3.21</v>
      </c>
      <c r="G65" s="673"/>
      <c r="H65" s="448">
        <f>F65*G65</f>
        <v>0</v>
      </c>
      <c r="J65" s="123"/>
    </row>
    <row r="66" spans="1:8" ht="15" customHeight="1">
      <c r="A66" s="441"/>
      <c r="B66" s="442"/>
      <c r="C66" s="442">
        <v>712</v>
      </c>
      <c r="D66" s="442" t="s">
        <v>214</v>
      </c>
      <c r="E66" s="442"/>
      <c r="F66" s="443"/>
      <c r="G66" s="678"/>
      <c r="H66" s="444">
        <f>SUM(H67:H79)</f>
        <v>0</v>
      </c>
    </row>
    <row r="67" spans="1:10" s="114" customFormat="1" ht="13.5" customHeight="1">
      <c r="A67" s="445">
        <v>70</v>
      </c>
      <c r="B67" s="446">
        <v>712</v>
      </c>
      <c r="C67" s="446" t="s">
        <v>1382</v>
      </c>
      <c r="D67" s="446" t="s">
        <v>1383</v>
      </c>
      <c r="E67" s="446" t="s">
        <v>48</v>
      </c>
      <c r="F67" s="447">
        <f>F77</f>
        <v>73.3</v>
      </c>
      <c r="G67" s="673"/>
      <c r="H67" s="448">
        <f>F67*G67</f>
        <v>0</v>
      </c>
      <c r="J67" s="123"/>
    </row>
    <row r="68" spans="1:10" s="114" customFormat="1" ht="13.5" customHeight="1">
      <c r="A68" s="457"/>
      <c r="B68" s="449"/>
      <c r="C68" s="449"/>
      <c r="D68" s="449" t="s">
        <v>219</v>
      </c>
      <c r="E68" s="449"/>
      <c r="F68" s="458"/>
      <c r="G68" s="677"/>
      <c r="H68" s="459"/>
      <c r="J68" s="117"/>
    </row>
    <row r="69" spans="1:10" s="114" customFormat="1" ht="13.5" customHeight="1">
      <c r="A69" s="457"/>
      <c r="B69" s="449"/>
      <c r="C69" s="449"/>
      <c r="D69" s="449" t="s">
        <v>1384</v>
      </c>
      <c r="E69" s="449"/>
      <c r="F69" s="458"/>
      <c r="G69" s="677"/>
      <c r="H69" s="459"/>
      <c r="J69" s="117"/>
    </row>
    <row r="70" spans="1:10" s="114" customFormat="1" ht="13.5" customHeight="1">
      <c r="A70" s="457"/>
      <c r="B70" s="449"/>
      <c r="C70" s="449"/>
      <c r="D70" s="449" t="s">
        <v>1385</v>
      </c>
      <c r="E70" s="449"/>
      <c r="F70" s="458"/>
      <c r="G70" s="677"/>
      <c r="H70" s="459"/>
      <c r="J70" s="117"/>
    </row>
    <row r="71" spans="1:10" s="114" customFormat="1" ht="13.5" customHeight="1">
      <c r="A71" s="457"/>
      <c r="B71" s="449"/>
      <c r="C71" s="449"/>
      <c r="D71" s="449" t="s">
        <v>226</v>
      </c>
      <c r="E71" s="449"/>
      <c r="F71" s="458"/>
      <c r="G71" s="677"/>
      <c r="H71" s="459"/>
      <c r="J71" s="117"/>
    </row>
    <row r="72" spans="1:10" s="114" customFormat="1" ht="13.5" customHeight="1">
      <c r="A72" s="457"/>
      <c r="B72" s="449"/>
      <c r="C72" s="449"/>
      <c r="D72" s="449" t="s">
        <v>227</v>
      </c>
      <c r="E72" s="449"/>
      <c r="F72" s="458"/>
      <c r="G72" s="677"/>
      <c r="H72" s="459"/>
      <c r="J72" s="117"/>
    </row>
    <row r="73" spans="1:10" s="114" customFormat="1" ht="27" customHeight="1">
      <c r="A73" s="457"/>
      <c r="B73" s="449"/>
      <c r="C73" s="449"/>
      <c r="D73" s="449" t="s">
        <v>228</v>
      </c>
      <c r="E73" s="449"/>
      <c r="F73" s="458"/>
      <c r="G73" s="677"/>
      <c r="H73" s="459"/>
      <c r="J73" s="117"/>
    </row>
    <row r="74" spans="1:10" s="114" customFormat="1" ht="13.5" customHeight="1">
      <c r="A74" s="457"/>
      <c r="B74" s="449"/>
      <c r="C74" s="449"/>
      <c r="D74" s="449" t="s">
        <v>222</v>
      </c>
      <c r="E74" s="449"/>
      <c r="F74" s="458"/>
      <c r="G74" s="677"/>
      <c r="H74" s="459"/>
      <c r="J74" s="117"/>
    </row>
    <row r="75" spans="1:10" s="114" customFormat="1" ht="27" customHeight="1">
      <c r="A75" s="457"/>
      <c r="B75" s="449"/>
      <c r="C75" s="449"/>
      <c r="D75" s="449" t="s">
        <v>229</v>
      </c>
      <c r="E75" s="449"/>
      <c r="F75" s="458"/>
      <c r="G75" s="677"/>
      <c r="H75" s="459"/>
      <c r="J75" s="117"/>
    </row>
    <row r="76" spans="1:10" s="114" customFormat="1" ht="13.5" customHeight="1">
      <c r="A76" s="457"/>
      <c r="B76" s="449"/>
      <c r="C76" s="449"/>
      <c r="D76" s="449" t="s">
        <v>226</v>
      </c>
      <c r="E76" s="449"/>
      <c r="F76" s="458"/>
      <c r="G76" s="677"/>
      <c r="H76" s="459"/>
      <c r="J76" s="117"/>
    </row>
    <row r="77" spans="1:10" s="114" customFormat="1" ht="13.5" customHeight="1">
      <c r="A77" s="457"/>
      <c r="B77" s="449"/>
      <c r="C77" s="449"/>
      <c r="D77" s="449" t="s">
        <v>1386</v>
      </c>
      <c r="E77" s="449"/>
      <c r="F77" s="458">
        <v>73.3</v>
      </c>
      <c r="G77" s="677"/>
      <c r="H77" s="459"/>
      <c r="J77" s="117"/>
    </row>
    <row r="78" spans="1:10" s="114" customFormat="1" ht="27" customHeight="1">
      <c r="A78" s="457"/>
      <c r="B78" s="449"/>
      <c r="C78" s="449"/>
      <c r="D78" s="449" t="s">
        <v>1450</v>
      </c>
      <c r="E78" s="449"/>
      <c r="F78" s="458"/>
      <c r="G78" s="677"/>
      <c r="H78" s="459"/>
      <c r="J78" s="117"/>
    </row>
    <row r="79" spans="1:10" s="114" customFormat="1" ht="13.5" customHeight="1">
      <c r="A79" s="445">
        <v>71</v>
      </c>
      <c r="B79" s="446">
        <v>998</v>
      </c>
      <c r="C79" s="446">
        <v>998712202</v>
      </c>
      <c r="D79" s="446" t="s">
        <v>230</v>
      </c>
      <c r="E79" s="446" t="s">
        <v>10</v>
      </c>
      <c r="F79" s="447">
        <v>3.15</v>
      </c>
      <c r="G79" s="673"/>
      <c r="H79" s="448">
        <f>F79*G79</f>
        <v>0</v>
      </c>
      <c r="J79" s="123"/>
    </row>
    <row r="80" spans="1:8" ht="15" customHeight="1">
      <c r="A80" s="441"/>
      <c r="B80" s="442"/>
      <c r="C80" s="442">
        <v>713</v>
      </c>
      <c r="D80" s="442" t="s">
        <v>233</v>
      </c>
      <c r="E80" s="442"/>
      <c r="F80" s="443"/>
      <c r="G80" s="678"/>
      <c r="H80" s="444">
        <f>SUM(H81:H95)</f>
        <v>0</v>
      </c>
    </row>
    <row r="81" spans="1:10" s="114" customFormat="1" ht="13.5" customHeight="1">
      <c r="A81" s="445">
        <v>85</v>
      </c>
      <c r="B81" s="446">
        <v>713</v>
      </c>
      <c r="C81" s="446" t="s">
        <v>265</v>
      </c>
      <c r="D81" s="446" t="s">
        <v>266</v>
      </c>
      <c r="E81" s="446" t="s">
        <v>48</v>
      </c>
      <c r="F81" s="447">
        <f>SUM(F91:F93)</f>
        <v>955.4</v>
      </c>
      <c r="G81" s="673"/>
      <c r="H81" s="448">
        <f>F81*G81</f>
        <v>0</v>
      </c>
      <c r="J81" s="123"/>
    </row>
    <row r="82" spans="1:10" s="114" customFormat="1" ht="13.5" customHeight="1">
      <c r="A82" s="457"/>
      <c r="B82" s="449"/>
      <c r="C82" s="449"/>
      <c r="D82" s="449" t="s">
        <v>267</v>
      </c>
      <c r="E82" s="449"/>
      <c r="F82" s="458"/>
      <c r="G82" s="677"/>
      <c r="H82" s="459"/>
      <c r="J82" s="117"/>
    </row>
    <row r="83" spans="1:10" s="114" customFormat="1" ht="13.5" customHeight="1">
      <c r="A83" s="457"/>
      <c r="B83" s="449"/>
      <c r="C83" s="449"/>
      <c r="D83" s="449" t="s">
        <v>219</v>
      </c>
      <c r="E83" s="449"/>
      <c r="F83" s="458"/>
      <c r="G83" s="677"/>
      <c r="H83" s="459"/>
      <c r="J83" s="117"/>
    </row>
    <row r="84" spans="1:10" s="114" customFormat="1" ht="27" customHeight="1">
      <c r="A84" s="457"/>
      <c r="B84" s="449"/>
      <c r="C84" s="449"/>
      <c r="D84" s="449" t="s">
        <v>261</v>
      </c>
      <c r="E84" s="449"/>
      <c r="F84" s="458"/>
      <c r="G84" s="677"/>
      <c r="H84" s="459"/>
      <c r="J84" s="117"/>
    </row>
    <row r="85" spans="1:10" s="114" customFormat="1" ht="13.5" customHeight="1">
      <c r="A85" s="457"/>
      <c r="B85" s="449"/>
      <c r="C85" s="449"/>
      <c r="D85" s="449" t="s">
        <v>262</v>
      </c>
      <c r="E85" s="449"/>
      <c r="F85" s="458"/>
      <c r="G85" s="677"/>
      <c r="H85" s="459"/>
      <c r="J85" s="117"/>
    </row>
    <row r="86" spans="1:10" s="114" customFormat="1" ht="13.5" customHeight="1">
      <c r="A86" s="457"/>
      <c r="B86" s="449"/>
      <c r="C86" s="449"/>
      <c r="D86" s="449" t="s">
        <v>250</v>
      </c>
      <c r="E86" s="449"/>
      <c r="F86" s="458"/>
      <c r="G86" s="677"/>
      <c r="H86" s="459"/>
      <c r="J86" s="117"/>
    </row>
    <row r="87" spans="1:10" s="114" customFormat="1" ht="13.5" customHeight="1">
      <c r="A87" s="457"/>
      <c r="B87" s="449"/>
      <c r="C87" s="449"/>
      <c r="D87" s="449" t="s">
        <v>251</v>
      </c>
      <c r="E87" s="449"/>
      <c r="F87" s="458"/>
      <c r="G87" s="677"/>
      <c r="H87" s="459"/>
      <c r="J87" s="117"/>
    </row>
    <row r="88" spans="1:10" s="114" customFormat="1" ht="13.5" customHeight="1">
      <c r="A88" s="457"/>
      <c r="B88" s="449"/>
      <c r="C88" s="449"/>
      <c r="D88" s="449" t="s">
        <v>250</v>
      </c>
      <c r="E88" s="449"/>
      <c r="F88" s="458"/>
      <c r="G88" s="677"/>
      <c r="H88" s="459"/>
      <c r="J88" s="117"/>
    </row>
    <row r="89" spans="1:10" s="114" customFormat="1" ht="13.5" customHeight="1">
      <c r="A89" s="457"/>
      <c r="B89" s="449"/>
      <c r="C89" s="449"/>
      <c r="D89" s="449" t="s">
        <v>263</v>
      </c>
      <c r="E89" s="449"/>
      <c r="F89" s="458"/>
      <c r="G89" s="677"/>
      <c r="H89" s="459"/>
      <c r="J89" s="117"/>
    </row>
    <row r="90" spans="1:10" s="114" customFormat="1" ht="13.5" customHeight="1">
      <c r="A90" s="457"/>
      <c r="B90" s="449"/>
      <c r="C90" s="449"/>
      <c r="D90" s="449" t="s">
        <v>250</v>
      </c>
      <c r="E90" s="449"/>
      <c r="F90" s="458"/>
      <c r="G90" s="677"/>
      <c r="H90" s="459"/>
      <c r="J90" s="117"/>
    </row>
    <row r="91" spans="1:10" s="114" customFormat="1" ht="27" customHeight="1">
      <c r="A91" s="457"/>
      <c r="B91" s="449"/>
      <c r="C91" s="449"/>
      <c r="D91" s="449" t="s">
        <v>268</v>
      </c>
      <c r="E91" s="449"/>
      <c r="F91" s="458">
        <f>((26.1+2.5+15.1+26.4+4)*12)-(5*15*2.7)</f>
        <v>686.6999999999999</v>
      </c>
      <c r="G91" s="677"/>
      <c r="H91" s="459"/>
      <c r="J91" s="117"/>
    </row>
    <row r="92" spans="1:10" s="114" customFormat="1" ht="13.5" customHeight="1">
      <c r="A92" s="457"/>
      <c r="B92" s="449"/>
      <c r="C92" s="449"/>
      <c r="D92" s="449" t="s">
        <v>1387</v>
      </c>
      <c r="E92" s="449"/>
      <c r="F92" s="458">
        <v>139.6</v>
      </c>
      <c r="G92" s="677"/>
      <c r="H92" s="459"/>
      <c r="J92" s="117"/>
    </row>
    <row r="93" spans="1:10" s="114" customFormat="1" ht="27" customHeight="1">
      <c r="A93" s="457"/>
      <c r="B93" s="449"/>
      <c r="C93" s="449"/>
      <c r="D93" s="449" t="s">
        <v>1388</v>
      </c>
      <c r="E93" s="446"/>
      <c r="F93" s="450">
        <v>129.1</v>
      </c>
      <c r="G93" s="677"/>
      <c r="H93" s="459"/>
      <c r="J93" s="117"/>
    </row>
    <row r="94" spans="1:10" s="114" customFormat="1" ht="23.4" customHeight="1">
      <c r="A94" s="111"/>
      <c r="B94" s="102"/>
      <c r="C94" s="102"/>
      <c r="D94" s="449" t="s">
        <v>1466</v>
      </c>
      <c r="E94" s="102"/>
      <c r="F94" s="112"/>
      <c r="G94" s="677"/>
      <c r="H94" s="113"/>
      <c r="J94" s="117"/>
    </row>
    <row r="95" spans="1:10" s="114" customFormat="1" ht="13.5" customHeight="1">
      <c r="A95" s="445">
        <v>89</v>
      </c>
      <c r="B95" s="446">
        <v>998</v>
      </c>
      <c r="C95" s="446">
        <v>998713202</v>
      </c>
      <c r="D95" s="446" t="s">
        <v>283</v>
      </c>
      <c r="E95" s="446" t="s">
        <v>10</v>
      </c>
      <c r="F95" s="447">
        <v>1.95</v>
      </c>
      <c r="G95" s="673"/>
      <c r="H95" s="448">
        <f>F95*G95</f>
        <v>0</v>
      </c>
      <c r="J95" s="123"/>
    </row>
    <row r="96" spans="1:8" ht="15" customHeight="1">
      <c r="A96" s="441"/>
      <c r="B96" s="442"/>
      <c r="C96" s="442">
        <v>762</v>
      </c>
      <c r="D96" s="442" t="s">
        <v>297</v>
      </c>
      <c r="E96" s="442"/>
      <c r="F96" s="443"/>
      <c r="G96" s="678"/>
      <c r="H96" s="444">
        <f>SUM(H97:H104)</f>
        <v>0</v>
      </c>
    </row>
    <row r="97" spans="1:10" s="114" customFormat="1" ht="13.5" customHeight="1">
      <c r="A97" s="445">
        <v>96</v>
      </c>
      <c r="B97" s="446">
        <v>762</v>
      </c>
      <c r="C97" s="446">
        <v>762331813</v>
      </c>
      <c r="D97" s="446" t="s">
        <v>298</v>
      </c>
      <c r="E97" s="446" t="s">
        <v>139</v>
      </c>
      <c r="F97" s="447">
        <f>F98</f>
        <v>180</v>
      </c>
      <c r="G97" s="673"/>
      <c r="H97" s="448">
        <f>F97*G97</f>
        <v>0</v>
      </c>
      <c r="J97" s="123"/>
    </row>
    <row r="98" spans="1:10" s="114" customFormat="1" ht="13.5" customHeight="1">
      <c r="A98" s="457"/>
      <c r="B98" s="449"/>
      <c r="C98" s="449"/>
      <c r="D98" s="449" t="s">
        <v>299</v>
      </c>
      <c r="E98" s="449"/>
      <c r="F98" s="458">
        <v>180</v>
      </c>
      <c r="G98" s="677"/>
      <c r="H98" s="459"/>
      <c r="J98" s="117"/>
    </row>
    <row r="99" spans="1:10" s="116" customFormat="1" ht="13.5" customHeight="1">
      <c r="A99" s="451">
        <v>97</v>
      </c>
      <c r="B99" s="452">
        <v>605</v>
      </c>
      <c r="C99" s="452">
        <v>60512131</v>
      </c>
      <c r="D99" s="452" t="s">
        <v>300</v>
      </c>
      <c r="E99" s="452" t="s">
        <v>51</v>
      </c>
      <c r="F99" s="453">
        <v>6</v>
      </c>
      <c r="G99" s="679"/>
      <c r="H99" s="454">
        <f>F99*G99</f>
        <v>0</v>
      </c>
      <c r="J99" s="117"/>
    </row>
    <row r="100" spans="1:10" s="114" customFormat="1" ht="13.5" customHeight="1">
      <c r="A100" s="445">
        <v>98</v>
      </c>
      <c r="B100" s="446">
        <v>762</v>
      </c>
      <c r="C100" s="446">
        <v>762341832</v>
      </c>
      <c r="D100" s="446" t="s">
        <v>301</v>
      </c>
      <c r="E100" s="446" t="s">
        <v>48</v>
      </c>
      <c r="F100" s="447">
        <f>SUM(F101:F101)</f>
        <v>66.6</v>
      </c>
      <c r="G100" s="673"/>
      <c r="H100" s="448">
        <f>F100*G100</f>
        <v>0</v>
      </c>
      <c r="J100" s="117"/>
    </row>
    <row r="101" spans="1:10" s="114" customFormat="1" ht="13.5" customHeight="1">
      <c r="A101" s="457"/>
      <c r="B101" s="449"/>
      <c r="C101" s="449"/>
      <c r="D101" s="449" t="s">
        <v>1389</v>
      </c>
      <c r="E101" s="449"/>
      <c r="F101" s="458">
        <v>66.6</v>
      </c>
      <c r="G101" s="677"/>
      <c r="H101" s="459"/>
      <c r="J101" s="117"/>
    </row>
    <row r="102" spans="1:10" s="114" customFormat="1" ht="13.5" customHeight="1">
      <c r="A102" s="445">
        <v>99</v>
      </c>
      <c r="B102" s="446">
        <v>762</v>
      </c>
      <c r="C102" s="446">
        <v>762342812</v>
      </c>
      <c r="D102" s="446" t="s">
        <v>303</v>
      </c>
      <c r="E102" s="446" t="s">
        <v>48</v>
      </c>
      <c r="F102" s="447">
        <f>F103</f>
        <v>451</v>
      </c>
      <c r="G102" s="673"/>
      <c r="H102" s="448">
        <f>F102*G102</f>
        <v>0</v>
      </c>
      <c r="J102" s="117"/>
    </row>
    <row r="103" spans="1:10" s="114" customFormat="1" ht="16.2" customHeight="1">
      <c r="A103" s="457"/>
      <c r="B103" s="449"/>
      <c r="C103" s="449"/>
      <c r="D103" s="449" t="s">
        <v>1470</v>
      </c>
      <c r="E103" s="449"/>
      <c r="F103" s="458">
        <v>451</v>
      </c>
      <c r="G103" s="677"/>
      <c r="H103" s="459"/>
      <c r="J103" s="117"/>
    </row>
    <row r="104" spans="1:10" s="114" customFormat="1" ht="13.5" customHeight="1">
      <c r="A104" s="445">
        <v>101</v>
      </c>
      <c r="B104" s="446">
        <v>998</v>
      </c>
      <c r="C104" s="446">
        <v>998762202</v>
      </c>
      <c r="D104" s="446" t="s">
        <v>308</v>
      </c>
      <c r="E104" s="446" t="s">
        <v>10</v>
      </c>
      <c r="F104" s="447">
        <v>5.58</v>
      </c>
      <c r="G104" s="673"/>
      <c r="H104" s="448">
        <f>F104*G104</f>
        <v>0</v>
      </c>
      <c r="J104" s="123"/>
    </row>
    <row r="105" spans="1:8" ht="15" customHeight="1">
      <c r="A105" s="441"/>
      <c r="B105" s="442"/>
      <c r="C105" s="442">
        <v>764</v>
      </c>
      <c r="D105" s="442" t="s">
        <v>335</v>
      </c>
      <c r="E105" s="442"/>
      <c r="F105" s="443"/>
      <c r="G105" s="678"/>
      <c r="H105" s="444">
        <f>SUM(H106:H130)</f>
        <v>0</v>
      </c>
    </row>
    <row r="106" spans="1:10" s="114" customFormat="1" ht="27" customHeight="1">
      <c r="A106" s="445">
        <v>113</v>
      </c>
      <c r="B106" s="446">
        <v>764</v>
      </c>
      <c r="C106" s="446" t="s">
        <v>336</v>
      </c>
      <c r="D106" s="446" t="s">
        <v>337</v>
      </c>
      <c r="E106" s="446" t="s">
        <v>25</v>
      </c>
      <c r="F106" s="447">
        <f>F107</f>
        <v>44</v>
      </c>
      <c r="G106" s="673"/>
      <c r="H106" s="448">
        <f>F106*G106</f>
        <v>0</v>
      </c>
      <c r="J106" s="123"/>
    </row>
    <row r="107" spans="1:10" s="114" customFormat="1" ht="13.5" customHeight="1">
      <c r="A107" s="457"/>
      <c r="B107" s="449"/>
      <c r="C107" s="449"/>
      <c r="D107" s="449" t="s">
        <v>338</v>
      </c>
      <c r="E107" s="449"/>
      <c r="F107" s="458">
        <v>44</v>
      </c>
      <c r="G107" s="677"/>
      <c r="H107" s="459"/>
      <c r="J107" s="123"/>
    </row>
    <row r="108" spans="1:10" ht="15" customHeight="1">
      <c r="A108" s="441"/>
      <c r="B108" s="442"/>
      <c r="C108" s="442"/>
      <c r="D108" s="449" t="s">
        <v>339</v>
      </c>
      <c r="E108" s="442"/>
      <c r="F108" s="443"/>
      <c r="G108" s="678"/>
      <c r="H108" s="444"/>
      <c r="J108" s="123"/>
    </row>
    <row r="109" spans="1:10" s="114" customFormat="1" ht="27" customHeight="1">
      <c r="A109" s="445">
        <v>124</v>
      </c>
      <c r="B109" s="446">
        <v>764</v>
      </c>
      <c r="C109" s="446" t="s">
        <v>368</v>
      </c>
      <c r="D109" s="446" t="s">
        <v>369</v>
      </c>
      <c r="E109" s="446" t="s">
        <v>139</v>
      </c>
      <c r="F109" s="447">
        <f>F110</f>
        <v>42</v>
      </c>
      <c r="G109" s="673"/>
      <c r="H109" s="448">
        <f>F109*G109</f>
        <v>0</v>
      </c>
      <c r="J109" s="123"/>
    </row>
    <row r="110" spans="1:10" s="114" customFormat="1" ht="13.5" customHeight="1">
      <c r="A110" s="457"/>
      <c r="B110" s="449"/>
      <c r="C110" s="449"/>
      <c r="D110" s="449" t="s">
        <v>342</v>
      </c>
      <c r="E110" s="449"/>
      <c r="F110" s="458">
        <v>42</v>
      </c>
      <c r="G110" s="677"/>
      <c r="H110" s="459"/>
      <c r="J110" s="123"/>
    </row>
    <row r="111" spans="1:10" ht="15" customHeight="1">
      <c r="A111" s="441"/>
      <c r="B111" s="442"/>
      <c r="C111" s="442"/>
      <c r="D111" s="449" t="s">
        <v>339</v>
      </c>
      <c r="E111" s="442"/>
      <c r="F111" s="443"/>
      <c r="G111" s="678"/>
      <c r="H111" s="444"/>
      <c r="J111" s="123"/>
    </row>
    <row r="112" spans="1:10" s="114" customFormat="1" ht="27" customHeight="1">
      <c r="A112" s="445">
        <v>125</v>
      </c>
      <c r="B112" s="446">
        <v>764</v>
      </c>
      <c r="C112" s="446" t="s">
        <v>370</v>
      </c>
      <c r="D112" s="446" t="s">
        <v>371</v>
      </c>
      <c r="E112" s="446" t="s">
        <v>139</v>
      </c>
      <c r="F112" s="447">
        <f>F113</f>
        <v>70</v>
      </c>
      <c r="G112" s="673"/>
      <c r="H112" s="448">
        <f>F112*G112</f>
        <v>0</v>
      </c>
      <c r="J112" s="123"/>
    </row>
    <row r="113" spans="1:10" s="114" customFormat="1" ht="13.5" customHeight="1">
      <c r="A113" s="457"/>
      <c r="B113" s="449"/>
      <c r="C113" s="449"/>
      <c r="D113" s="449" t="s">
        <v>342</v>
      </c>
      <c r="E113" s="449"/>
      <c r="F113" s="458">
        <v>70</v>
      </c>
      <c r="G113" s="677"/>
      <c r="H113" s="459"/>
      <c r="J113" s="123"/>
    </row>
    <row r="114" spans="1:10" ht="15" customHeight="1">
      <c r="A114" s="441"/>
      <c r="B114" s="442"/>
      <c r="C114" s="442"/>
      <c r="D114" s="449" t="s">
        <v>339</v>
      </c>
      <c r="E114" s="442"/>
      <c r="F114" s="443"/>
      <c r="G114" s="678"/>
      <c r="H114" s="444"/>
      <c r="J114" s="123"/>
    </row>
    <row r="115" spans="1:10" s="114" customFormat="1" ht="13.5" customHeight="1">
      <c r="A115" s="445">
        <v>126</v>
      </c>
      <c r="B115" s="446">
        <v>764</v>
      </c>
      <c r="C115" s="446" t="s">
        <v>372</v>
      </c>
      <c r="D115" s="446" t="s">
        <v>373</v>
      </c>
      <c r="E115" s="446" t="s">
        <v>139</v>
      </c>
      <c r="F115" s="447">
        <f>F116</f>
        <v>43</v>
      </c>
      <c r="G115" s="673"/>
      <c r="H115" s="448">
        <f>F115*G115</f>
        <v>0</v>
      </c>
      <c r="J115" s="123"/>
    </row>
    <row r="116" spans="1:10" s="114" customFormat="1" ht="13.5" customHeight="1">
      <c r="A116" s="457"/>
      <c r="B116" s="449"/>
      <c r="C116" s="449"/>
      <c r="D116" s="449" t="s">
        <v>374</v>
      </c>
      <c r="E116" s="449"/>
      <c r="F116" s="458">
        <v>43</v>
      </c>
      <c r="G116" s="677"/>
      <c r="H116" s="459"/>
      <c r="J116" s="123"/>
    </row>
    <row r="117" spans="1:10" ht="15" customHeight="1">
      <c r="A117" s="441"/>
      <c r="B117" s="442"/>
      <c r="C117" s="442"/>
      <c r="D117" s="449" t="s">
        <v>339</v>
      </c>
      <c r="E117" s="442"/>
      <c r="F117" s="443"/>
      <c r="G117" s="678"/>
      <c r="H117" s="444"/>
      <c r="J117" s="123"/>
    </row>
    <row r="118" spans="1:10" s="114" customFormat="1" ht="13.5" customHeight="1">
      <c r="A118" s="445">
        <v>127</v>
      </c>
      <c r="B118" s="446">
        <v>764</v>
      </c>
      <c r="C118" s="446" t="s">
        <v>375</v>
      </c>
      <c r="D118" s="446" t="s">
        <v>376</v>
      </c>
      <c r="E118" s="446" t="s">
        <v>25</v>
      </c>
      <c r="F118" s="447">
        <f>F119</f>
        <v>21</v>
      </c>
      <c r="G118" s="673"/>
      <c r="H118" s="448">
        <f>F118*G118</f>
        <v>0</v>
      </c>
      <c r="J118" s="123"/>
    </row>
    <row r="119" spans="1:10" s="114" customFormat="1" ht="13.5" customHeight="1">
      <c r="A119" s="457"/>
      <c r="B119" s="449"/>
      <c r="C119" s="449"/>
      <c r="D119" s="449" t="s">
        <v>374</v>
      </c>
      <c r="E119" s="449"/>
      <c r="F119" s="458">
        <v>21</v>
      </c>
      <c r="G119" s="677"/>
      <c r="H119" s="459"/>
      <c r="J119" s="123"/>
    </row>
    <row r="120" spans="1:10" ht="15" customHeight="1">
      <c r="A120" s="441"/>
      <c r="B120" s="442"/>
      <c r="C120" s="442"/>
      <c r="D120" s="449" t="s">
        <v>339</v>
      </c>
      <c r="E120" s="442"/>
      <c r="F120" s="443"/>
      <c r="G120" s="678"/>
      <c r="H120" s="444"/>
      <c r="J120" s="123"/>
    </row>
    <row r="121" spans="1:10" s="114" customFormat="1" ht="13.5" customHeight="1">
      <c r="A121" s="445">
        <v>132</v>
      </c>
      <c r="B121" s="446">
        <v>764</v>
      </c>
      <c r="C121" s="446" t="s">
        <v>386</v>
      </c>
      <c r="D121" s="446" t="s">
        <v>387</v>
      </c>
      <c r="E121" s="446" t="s">
        <v>139</v>
      </c>
      <c r="F121" s="447">
        <f>F122</f>
        <v>70</v>
      </c>
      <c r="G121" s="673"/>
      <c r="H121" s="448">
        <f>F121*G121</f>
        <v>0</v>
      </c>
      <c r="J121" s="123"/>
    </row>
    <row r="122" spans="1:10" s="114" customFormat="1" ht="13.5" customHeight="1">
      <c r="A122" s="457"/>
      <c r="B122" s="449"/>
      <c r="C122" s="449"/>
      <c r="D122" s="449" t="s">
        <v>385</v>
      </c>
      <c r="E122" s="449"/>
      <c r="F122" s="458">
        <v>70</v>
      </c>
      <c r="G122" s="677"/>
      <c r="H122" s="459"/>
      <c r="J122" s="123"/>
    </row>
    <row r="123" spans="1:10" ht="15" customHeight="1">
      <c r="A123" s="441"/>
      <c r="B123" s="442"/>
      <c r="C123" s="442"/>
      <c r="D123" s="449" t="s">
        <v>339</v>
      </c>
      <c r="E123" s="442"/>
      <c r="F123" s="443"/>
      <c r="G123" s="678"/>
      <c r="H123" s="444"/>
      <c r="J123" s="123"/>
    </row>
    <row r="124" spans="1:10" s="114" customFormat="1" ht="13.5" customHeight="1">
      <c r="A124" s="445">
        <v>139</v>
      </c>
      <c r="B124" s="446">
        <v>764</v>
      </c>
      <c r="C124" s="446" t="s">
        <v>400</v>
      </c>
      <c r="D124" s="446" t="s">
        <v>401</v>
      </c>
      <c r="E124" s="446" t="s">
        <v>139</v>
      </c>
      <c r="F124" s="447">
        <f>F125</f>
        <v>71</v>
      </c>
      <c r="G124" s="673"/>
      <c r="H124" s="448">
        <f>F124*G124</f>
        <v>0</v>
      </c>
      <c r="J124" s="123"/>
    </row>
    <row r="125" spans="1:10" s="114" customFormat="1" ht="13.5" customHeight="1">
      <c r="A125" s="457"/>
      <c r="B125" s="449"/>
      <c r="C125" s="449"/>
      <c r="D125" s="449" t="s">
        <v>385</v>
      </c>
      <c r="E125" s="449"/>
      <c r="F125" s="458">
        <v>71</v>
      </c>
      <c r="G125" s="677"/>
      <c r="H125" s="459"/>
      <c r="J125" s="123"/>
    </row>
    <row r="126" spans="1:10" ht="15" customHeight="1">
      <c r="A126" s="441"/>
      <c r="B126" s="442"/>
      <c r="C126" s="442"/>
      <c r="D126" s="449" t="s">
        <v>339</v>
      </c>
      <c r="E126" s="442"/>
      <c r="F126" s="443"/>
      <c r="G126" s="678"/>
      <c r="H126" s="444"/>
      <c r="J126" s="123"/>
    </row>
    <row r="127" spans="1:10" s="114" customFormat="1" ht="13.5" customHeight="1">
      <c r="A127" s="445">
        <v>183</v>
      </c>
      <c r="B127" s="446">
        <v>764</v>
      </c>
      <c r="C127" s="446" t="s">
        <v>431</v>
      </c>
      <c r="D127" s="446" t="s">
        <v>432</v>
      </c>
      <c r="E127" s="446" t="s">
        <v>139</v>
      </c>
      <c r="F127" s="447">
        <f>F128</f>
        <v>70</v>
      </c>
      <c r="G127" s="673"/>
      <c r="H127" s="448">
        <f>F127*G127</f>
        <v>0</v>
      </c>
      <c r="J127" s="123"/>
    </row>
    <row r="128" spans="1:10" s="114" customFormat="1" ht="13.5" customHeight="1">
      <c r="A128" s="457"/>
      <c r="B128" s="449"/>
      <c r="C128" s="449"/>
      <c r="D128" s="449" t="s">
        <v>385</v>
      </c>
      <c r="E128" s="449"/>
      <c r="F128" s="458">
        <v>70</v>
      </c>
      <c r="G128" s="677"/>
      <c r="H128" s="459"/>
      <c r="J128" s="123"/>
    </row>
    <row r="129" spans="1:10" ht="15" customHeight="1">
      <c r="A129" s="441"/>
      <c r="B129" s="442"/>
      <c r="C129" s="442"/>
      <c r="D129" s="449" t="s">
        <v>339</v>
      </c>
      <c r="E129" s="442"/>
      <c r="F129" s="443"/>
      <c r="G129" s="678"/>
      <c r="H129" s="444"/>
      <c r="J129" s="123"/>
    </row>
    <row r="130" spans="1:10" s="114" customFormat="1" ht="13.5" customHeight="1">
      <c r="A130" s="445">
        <v>191</v>
      </c>
      <c r="B130" s="446">
        <v>998</v>
      </c>
      <c r="C130" s="446">
        <v>998764202</v>
      </c>
      <c r="D130" s="446" t="s">
        <v>447</v>
      </c>
      <c r="E130" s="446" t="s">
        <v>10</v>
      </c>
      <c r="F130" s="447">
        <v>1.56</v>
      </c>
      <c r="G130" s="673"/>
      <c r="H130" s="448">
        <f>F130*G130</f>
        <v>0</v>
      </c>
      <c r="J130" s="123"/>
    </row>
    <row r="131" spans="1:8" ht="15" customHeight="1">
      <c r="A131" s="441"/>
      <c r="B131" s="442"/>
      <c r="C131" s="442">
        <v>765</v>
      </c>
      <c r="D131" s="442" t="s">
        <v>450</v>
      </c>
      <c r="E131" s="442"/>
      <c r="F131" s="443"/>
      <c r="G131" s="678"/>
      <c r="H131" s="444">
        <f>SUM(H132:H145)</f>
        <v>0</v>
      </c>
    </row>
    <row r="132" spans="1:10" s="114" customFormat="1" ht="13.5" customHeight="1">
      <c r="A132" s="445">
        <v>194</v>
      </c>
      <c r="B132" s="446">
        <v>765</v>
      </c>
      <c r="C132" s="446">
        <v>765111821</v>
      </c>
      <c r="D132" s="446" t="s">
        <v>453</v>
      </c>
      <c r="E132" s="446" t="s">
        <v>48</v>
      </c>
      <c r="F132" s="447">
        <f>F133</f>
        <v>425</v>
      </c>
      <c r="G132" s="673"/>
      <c r="H132" s="448">
        <f>F132*G132</f>
        <v>0</v>
      </c>
      <c r="J132" s="123"/>
    </row>
    <row r="133" spans="1:10" s="114" customFormat="1" ht="16.8" customHeight="1">
      <c r="A133" s="445"/>
      <c r="B133" s="446"/>
      <c r="C133" s="446"/>
      <c r="D133" s="449" t="s">
        <v>1471</v>
      </c>
      <c r="E133" s="446"/>
      <c r="F133" s="450">
        <v>425</v>
      </c>
      <c r="G133" s="673"/>
      <c r="H133" s="448"/>
      <c r="J133" s="123"/>
    </row>
    <row r="134" spans="1:10" s="114" customFormat="1" ht="13.5" customHeight="1">
      <c r="A134" s="445">
        <v>195</v>
      </c>
      <c r="B134" s="446">
        <v>765</v>
      </c>
      <c r="C134" s="446" t="s">
        <v>454</v>
      </c>
      <c r="D134" s="446" t="s">
        <v>455</v>
      </c>
      <c r="E134" s="446" t="s">
        <v>48</v>
      </c>
      <c r="F134" s="447">
        <f>F143</f>
        <v>425.49999999999994</v>
      </c>
      <c r="G134" s="673"/>
      <c r="H134" s="448">
        <f>F134*G134</f>
        <v>0</v>
      </c>
      <c r="J134" s="123"/>
    </row>
    <row r="135" spans="1:10" s="114" customFormat="1" ht="13.5" customHeight="1">
      <c r="A135" s="457"/>
      <c r="B135" s="449"/>
      <c r="C135" s="449"/>
      <c r="D135" s="449" t="s">
        <v>219</v>
      </c>
      <c r="E135" s="449"/>
      <c r="F135" s="458"/>
      <c r="G135" s="677"/>
      <c r="H135" s="459"/>
      <c r="J135" s="117"/>
    </row>
    <row r="136" spans="1:10" s="114" customFormat="1" ht="28.35" customHeight="1">
      <c r="A136" s="457"/>
      <c r="B136" s="449"/>
      <c r="C136" s="449"/>
      <c r="D136" s="449" t="s">
        <v>456</v>
      </c>
      <c r="E136" s="449"/>
      <c r="F136" s="458"/>
      <c r="G136" s="677"/>
      <c r="H136" s="459"/>
      <c r="J136" s="117"/>
    </row>
    <row r="137" spans="1:10" s="114" customFormat="1" ht="13.5" customHeight="1">
      <c r="A137" s="457"/>
      <c r="B137" s="449"/>
      <c r="C137" s="449"/>
      <c r="D137" s="449" t="s">
        <v>457</v>
      </c>
      <c r="E137" s="449"/>
      <c r="F137" s="458"/>
      <c r="G137" s="677"/>
      <c r="H137" s="459"/>
      <c r="J137" s="117"/>
    </row>
    <row r="138" spans="1:10" s="114" customFormat="1" ht="13.5" customHeight="1">
      <c r="A138" s="457"/>
      <c r="B138" s="449"/>
      <c r="C138" s="449"/>
      <c r="D138" s="449" t="s">
        <v>227</v>
      </c>
      <c r="E138" s="449"/>
      <c r="F138" s="458"/>
      <c r="G138" s="677"/>
      <c r="H138" s="459"/>
      <c r="J138" s="117"/>
    </row>
    <row r="139" spans="1:10" s="114" customFormat="1" ht="27" customHeight="1">
      <c r="A139" s="457"/>
      <c r="B139" s="449"/>
      <c r="C139" s="449"/>
      <c r="D139" s="449" t="s">
        <v>228</v>
      </c>
      <c r="E139" s="449"/>
      <c r="F139" s="458"/>
      <c r="G139" s="677"/>
      <c r="H139" s="459"/>
      <c r="J139" s="117"/>
    </row>
    <row r="140" spans="1:10" s="114" customFormat="1" ht="13.5" customHeight="1">
      <c r="A140" s="457"/>
      <c r="B140" s="449"/>
      <c r="C140" s="449"/>
      <c r="D140" s="449" t="s">
        <v>222</v>
      </c>
      <c r="E140" s="449"/>
      <c r="F140" s="458"/>
      <c r="G140" s="677"/>
      <c r="H140" s="459"/>
      <c r="J140" s="117"/>
    </row>
    <row r="141" spans="1:10" s="114" customFormat="1" ht="27" customHeight="1">
      <c r="A141" s="457"/>
      <c r="B141" s="449"/>
      <c r="C141" s="449"/>
      <c r="D141" s="449" t="s">
        <v>229</v>
      </c>
      <c r="E141" s="449"/>
      <c r="F141" s="458"/>
      <c r="G141" s="677"/>
      <c r="H141" s="459"/>
      <c r="J141" s="117"/>
    </row>
    <row r="142" spans="1:10" s="114" customFormat="1" ht="13.5" customHeight="1">
      <c r="A142" s="457"/>
      <c r="B142" s="449"/>
      <c r="C142" s="449"/>
      <c r="D142" s="449" t="s">
        <v>226</v>
      </c>
      <c r="E142" s="449"/>
      <c r="F142" s="458"/>
      <c r="G142" s="677"/>
      <c r="H142" s="459"/>
      <c r="J142" s="117"/>
    </row>
    <row r="143" spans="1:10" s="114" customFormat="1" ht="14.4" customHeight="1">
      <c r="A143" s="457"/>
      <c r="B143" s="449"/>
      <c r="C143" s="449"/>
      <c r="D143" s="449" t="s">
        <v>1472</v>
      </c>
      <c r="E143" s="449"/>
      <c r="F143" s="458">
        <f>((2*27)*9.7)-73.3-25</f>
        <v>425.49999999999994</v>
      </c>
      <c r="G143" s="677"/>
      <c r="H143" s="459"/>
      <c r="J143" s="117"/>
    </row>
    <row r="144" spans="1:10" s="114" customFormat="1" ht="27" customHeight="1">
      <c r="A144" s="457"/>
      <c r="B144" s="449"/>
      <c r="C144" s="449"/>
      <c r="D144" s="449" t="s">
        <v>1450</v>
      </c>
      <c r="E144" s="449"/>
      <c r="F144" s="458"/>
      <c r="G144" s="677"/>
      <c r="H144" s="459"/>
      <c r="J144" s="117"/>
    </row>
    <row r="145" spans="1:10" s="114" customFormat="1" ht="13.5" customHeight="1">
      <c r="A145" s="445">
        <v>196</v>
      </c>
      <c r="B145" s="446">
        <v>998</v>
      </c>
      <c r="C145" s="446">
        <v>998765202</v>
      </c>
      <c r="D145" s="446" t="s">
        <v>458</v>
      </c>
      <c r="E145" s="446" t="s">
        <v>10</v>
      </c>
      <c r="F145" s="447">
        <v>5.33</v>
      </c>
      <c r="G145" s="673"/>
      <c r="H145" s="448">
        <f>F145*G145</f>
        <v>0</v>
      </c>
      <c r="J145" s="123"/>
    </row>
    <row r="146" spans="1:8" ht="15" customHeight="1">
      <c r="A146" s="441"/>
      <c r="B146" s="442"/>
      <c r="C146" s="442">
        <v>766</v>
      </c>
      <c r="D146" s="442" t="s">
        <v>461</v>
      </c>
      <c r="E146" s="442"/>
      <c r="F146" s="443"/>
      <c r="G146" s="678"/>
      <c r="H146" s="444">
        <f>SUM(H147:H181)</f>
        <v>0</v>
      </c>
    </row>
    <row r="147" spans="1:10" s="114" customFormat="1" ht="13.5" customHeight="1">
      <c r="A147" s="445">
        <v>198</v>
      </c>
      <c r="B147" s="446">
        <v>766</v>
      </c>
      <c r="C147" s="446" t="s">
        <v>464</v>
      </c>
      <c r="D147" s="446" t="s">
        <v>465</v>
      </c>
      <c r="E147" s="446" t="s">
        <v>48</v>
      </c>
      <c r="F147" s="447">
        <f>F149</f>
        <v>20</v>
      </c>
      <c r="G147" s="673"/>
      <c r="H147" s="448">
        <f>F147*G147</f>
        <v>0</v>
      </c>
      <c r="J147" s="123"/>
    </row>
    <row r="148" spans="1:10" s="114" customFormat="1" ht="27" customHeight="1">
      <c r="A148" s="457"/>
      <c r="B148" s="449"/>
      <c r="C148" s="449"/>
      <c r="D148" s="449" t="s">
        <v>466</v>
      </c>
      <c r="E148" s="449"/>
      <c r="F148" s="458"/>
      <c r="G148" s="677"/>
      <c r="H148" s="459"/>
      <c r="J148" s="117"/>
    </row>
    <row r="149" spans="1:10" s="114" customFormat="1" ht="27" customHeight="1">
      <c r="A149" s="457"/>
      <c r="B149" s="449"/>
      <c r="C149" s="449"/>
      <c r="D149" s="449" t="s">
        <v>467</v>
      </c>
      <c r="E149" s="449"/>
      <c r="F149" s="458">
        <v>20</v>
      </c>
      <c r="G149" s="677"/>
      <c r="H149" s="459"/>
      <c r="J149" s="117"/>
    </row>
    <row r="150" spans="1:10" s="114" customFormat="1" ht="13.5" customHeight="1">
      <c r="A150" s="445">
        <v>199</v>
      </c>
      <c r="B150" s="446">
        <v>766</v>
      </c>
      <c r="C150" s="446">
        <v>766622832</v>
      </c>
      <c r="D150" s="446" t="s">
        <v>468</v>
      </c>
      <c r="E150" s="446" t="s">
        <v>48</v>
      </c>
      <c r="F150" s="447">
        <f>F152</f>
        <v>120</v>
      </c>
      <c r="G150" s="673"/>
      <c r="H150" s="448">
        <f>F150*G150</f>
        <v>0</v>
      </c>
      <c r="J150" s="123"/>
    </row>
    <row r="151" spans="1:10" s="114" customFormat="1" ht="27" customHeight="1">
      <c r="A151" s="457"/>
      <c r="B151" s="449"/>
      <c r="C151" s="449"/>
      <c r="D151" s="449" t="s">
        <v>469</v>
      </c>
      <c r="E151" s="449"/>
      <c r="F151" s="458"/>
      <c r="G151" s="677"/>
      <c r="H151" s="459"/>
      <c r="J151" s="117"/>
    </row>
    <row r="152" spans="1:10" s="114" customFormat="1" ht="27" customHeight="1">
      <c r="A152" s="457"/>
      <c r="B152" s="449"/>
      <c r="C152" s="449"/>
      <c r="D152" s="449" t="s">
        <v>470</v>
      </c>
      <c r="E152" s="449"/>
      <c r="F152" s="458">
        <v>120</v>
      </c>
      <c r="G152" s="677"/>
      <c r="H152" s="459"/>
      <c r="J152" s="117"/>
    </row>
    <row r="153" spans="1:10" s="114" customFormat="1" ht="13.5" customHeight="1">
      <c r="A153" s="445">
        <v>200</v>
      </c>
      <c r="B153" s="446">
        <v>766</v>
      </c>
      <c r="C153" s="446">
        <v>766622862</v>
      </c>
      <c r="D153" s="446" t="s">
        <v>471</v>
      </c>
      <c r="E153" s="446" t="s">
        <v>25</v>
      </c>
      <c r="F153" s="447">
        <f>F154</f>
        <v>66</v>
      </c>
      <c r="G153" s="673"/>
      <c r="H153" s="448">
        <f>F153*G153</f>
        <v>0</v>
      </c>
      <c r="J153" s="123"/>
    </row>
    <row r="154" spans="1:10" s="114" customFormat="1" ht="13.5" customHeight="1">
      <c r="A154" s="445"/>
      <c r="B154" s="446"/>
      <c r="C154" s="446"/>
      <c r="D154" s="449" t="s">
        <v>472</v>
      </c>
      <c r="E154" s="446"/>
      <c r="F154" s="450">
        <v>66</v>
      </c>
      <c r="G154" s="673"/>
      <c r="H154" s="448"/>
      <c r="J154" s="123"/>
    </row>
    <row r="155" spans="1:10" s="114" customFormat="1" ht="13.5" customHeight="1">
      <c r="A155" s="445">
        <v>201</v>
      </c>
      <c r="B155" s="446">
        <v>766</v>
      </c>
      <c r="C155" s="446" t="s">
        <v>473</v>
      </c>
      <c r="D155" s="446" t="s">
        <v>474</v>
      </c>
      <c r="E155" s="446" t="s">
        <v>48</v>
      </c>
      <c r="F155" s="447">
        <f>F156</f>
        <v>12</v>
      </c>
      <c r="G155" s="673"/>
      <c r="H155" s="448">
        <f>F155*G155</f>
        <v>0</v>
      </c>
      <c r="J155" s="123"/>
    </row>
    <row r="156" spans="1:10" s="114" customFormat="1" ht="27" customHeight="1">
      <c r="A156" s="445"/>
      <c r="B156" s="446"/>
      <c r="C156" s="446"/>
      <c r="D156" s="449" t="s">
        <v>475</v>
      </c>
      <c r="E156" s="446"/>
      <c r="F156" s="450">
        <v>12</v>
      </c>
      <c r="G156" s="673"/>
      <c r="H156" s="448"/>
      <c r="J156" s="123"/>
    </row>
    <row r="157" spans="1:10" s="114" customFormat="1" ht="13.5" customHeight="1">
      <c r="A157" s="445">
        <v>203</v>
      </c>
      <c r="B157" s="446">
        <v>766</v>
      </c>
      <c r="C157" s="446">
        <v>766674811</v>
      </c>
      <c r="D157" s="446" t="s">
        <v>479</v>
      </c>
      <c r="E157" s="446" t="s">
        <v>25</v>
      </c>
      <c r="F157" s="447">
        <f>F159</f>
        <v>18</v>
      </c>
      <c r="G157" s="673"/>
      <c r="H157" s="448">
        <f>F157*G157</f>
        <v>0</v>
      </c>
      <c r="J157" s="123"/>
    </row>
    <row r="158" spans="1:10" s="114" customFormat="1" ht="13.5" customHeight="1">
      <c r="A158" s="445"/>
      <c r="B158" s="446"/>
      <c r="C158" s="446"/>
      <c r="D158" s="449" t="s">
        <v>480</v>
      </c>
      <c r="E158" s="446"/>
      <c r="F158" s="450"/>
      <c r="G158" s="673"/>
      <c r="H158" s="448"/>
      <c r="J158" s="123"/>
    </row>
    <row r="159" spans="1:10" s="114" customFormat="1" ht="13.5" customHeight="1">
      <c r="A159" s="445"/>
      <c r="B159" s="446"/>
      <c r="C159" s="446"/>
      <c r="D159" s="449" t="s">
        <v>481</v>
      </c>
      <c r="E159" s="446"/>
      <c r="F159" s="450">
        <v>18</v>
      </c>
      <c r="G159" s="673"/>
      <c r="H159" s="448"/>
      <c r="J159" s="123"/>
    </row>
    <row r="160" spans="1:10" s="114" customFormat="1" ht="13.5" customHeight="1">
      <c r="A160" s="445">
        <v>207</v>
      </c>
      <c r="B160" s="446">
        <v>766</v>
      </c>
      <c r="C160" s="446" t="s">
        <v>490</v>
      </c>
      <c r="D160" s="446" t="s">
        <v>491</v>
      </c>
      <c r="E160" s="446" t="s">
        <v>25</v>
      </c>
      <c r="F160" s="447">
        <f>F161</f>
        <v>38</v>
      </c>
      <c r="G160" s="673"/>
      <c r="H160" s="448">
        <f>F160*G160</f>
        <v>0</v>
      </c>
      <c r="J160" s="123"/>
    </row>
    <row r="161" spans="1:10" s="114" customFormat="1" ht="13.5" customHeight="1">
      <c r="A161" s="457"/>
      <c r="B161" s="449"/>
      <c r="C161" s="449"/>
      <c r="D161" s="449" t="s">
        <v>484</v>
      </c>
      <c r="E161" s="449"/>
      <c r="F161" s="458">
        <v>38</v>
      </c>
      <c r="G161" s="677"/>
      <c r="H161" s="459"/>
      <c r="J161" s="117"/>
    </row>
    <row r="162" spans="1:10" s="114" customFormat="1" ht="13.5" customHeight="1">
      <c r="A162" s="457"/>
      <c r="B162" s="449"/>
      <c r="C162" s="449"/>
      <c r="D162" s="449" t="s">
        <v>485</v>
      </c>
      <c r="E162" s="449"/>
      <c r="F162" s="458"/>
      <c r="G162" s="677"/>
      <c r="H162" s="459"/>
      <c r="J162" s="117"/>
    </row>
    <row r="163" spans="1:10" s="114" customFormat="1" ht="13.5" customHeight="1">
      <c r="A163" s="445">
        <v>208</v>
      </c>
      <c r="B163" s="446">
        <v>766</v>
      </c>
      <c r="C163" s="446" t="s">
        <v>492</v>
      </c>
      <c r="D163" s="446" t="s">
        <v>493</v>
      </c>
      <c r="E163" s="446" t="s">
        <v>25</v>
      </c>
      <c r="F163" s="447">
        <f>F164</f>
        <v>11</v>
      </c>
      <c r="G163" s="673"/>
      <c r="H163" s="448">
        <f>F163*G163</f>
        <v>0</v>
      </c>
      <c r="J163" s="123"/>
    </row>
    <row r="164" spans="1:10" s="114" customFormat="1" ht="13.5" customHeight="1">
      <c r="A164" s="457"/>
      <c r="B164" s="449"/>
      <c r="C164" s="449"/>
      <c r="D164" s="449" t="s">
        <v>484</v>
      </c>
      <c r="E164" s="449"/>
      <c r="F164" s="458">
        <v>11</v>
      </c>
      <c r="G164" s="677"/>
      <c r="H164" s="459"/>
      <c r="J164" s="117"/>
    </row>
    <row r="165" spans="1:10" s="114" customFormat="1" ht="13.5" customHeight="1">
      <c r="A165" s="457"/>
      <c r="B165" s="449"/>
      <c r="C165" s="449"/>
      <c r="D165" s="449" t="s">
        <v>485</v>
      </c>
      <c r="E165" s="449"/>
      <c r="F165" s="458"/>
      <c r="G165" s="677"/>
      <c r="H165" s="459"/>
      <c r="J165" s="117"/>
    </row>
    <row r="166" spans="1:10" s="114" customFormat="1" ht="13.5" customHeight="1">
      <c r="A166" s="445">
        <v>211</v>
      </c>
      <c r="B166" s="446">
        <v>766</v>
      </c>
      <c r="C166" s="446" t="s">
        <v>499</v>
      </c>
      <c r="D166" s="446" t="s">
        <v>500</v>
      </c>
      <c r="E166" s="446" t="s">
        <v>25</v>
      </c>
      <c r="F166" s="447">
        <f>F167</f>
        <v>10</v>
      </c>
      <c r="G166" s="673"/>
      <c r="H166" s="448">
        <f>F166*G166</f>
        <v>0</v>
      </c>
      <c r="J166" s="123"/>
    </row>
    <row r="167" spans="1:10" s="114" customFormat="1" ht="13.5" customHeight="1">
      <c r="A167" s="457"/>
      <c r="B167" s="449"/>
      <c r="C167" s="449"/>
      <c r="D167" s="449" t="s">
        <v>501</v>
      </c>
      <c r="E167" s="449"/>
      <c r="F167" s="458">
        <v>10</v>
      </c>
      <c r="G167" s="677"/>
      <c r="H167" s="459"/>
      <c r="J167" s="117"/>
    </row>
    <row r="168" spans="1:10" s="114" customFormat="1" ht="13.5" customHeight="1">
      <c r="A168" s="457"/>
      <c r="B168" s="449"/>
      <c r="C168" s="449"/>
      <c r="D168" s="449" t="s">
        <v>485</v>
      </c>
      <c r="E168" s="449"/>
      <c r="F168" s="458"/>
      <c r="G168" s="677"/>
      <c r="H168" s="459"/>
      <c r="J168" s="117"/>
    </row>
    <row r="169" spans="1:10" s="114" customFormat="1" ht="13.5" customHeight="1">
      <c r="A169" s="445">
        <v>214</v>
      </c>
      <c r="B169" s="446">
        <v>766</v>
      </c>
      <c r="C169" s="446" t="s">
        <v>506</v>
      </c>
      <c r="D169" s="446" t="s">
        <v>1390</v>
      </c>
      <c r="E169" s="446" t="s">
        <v>25</v>
      </c>
      <c r="F169" s="447">
        <f>F170</f>
        <v>4</v>
      </c>
      <c r="G169" s="673"/>
      <c r="H169" s="448">
        <f>F169*G169</f>
        <v>0</v>
      </c>
      <c r="J169" s="123"/>
    </row>
    <row r="170" spans="1:10" s="114" customFormat="1" ht="13.5" customHeight="1">
      <c r="A170" s="457"/>
      <c r="B170" s="449"/>
      <c r="C170" s="449"/>
      <c r="D170" s="449" t="s">
        <v>484</v>
      </c>
      <c r="E170" s="449"/>
      <c r="F170" s="458">
        <v>4</v>
      </c>
      <c r="G170" s="677"/>
      <c r="H170" s="459"/>
      <c r="J170" s="117"/>
    </row>
    <row r="171" spans="1:10" s="114" customFormat="1" ht="13.5" customHeight="1">
      <c r="A171" s="457"/>
      <c r="B171" s="449"/>
      <c r="C171" s="449"/>
      <c r="D171" s="449" t="s">
        <v>485</v>
      </c>
      <c r="E171" s="449"/>
      <c r="F171" s="458"/>
      <c r="G171" s="677"/>
      <c r="H171" s="459"/>
      <c r="J171" s="117"/>
    </row>
    <row r="172" spans="1:10" s="114" customFormat="1" ht="13.5" customHeight="1">
      <c r="A172" s="445">
        <v>216</v>
      </c>
      <c r="B172" s="446">
        <v>766</v>
      </c>
      <c r="C172" s="446" t="s">
        <v>1391</v>
      </c>
      <c r="D172" s="446" t="s">
        <v>1392</v>
      </c>
      <c r="E172" s="446" t="s">
        <v>25</v>
      </c>
      <c r="F172" s="447">
        <f>F173</f>
        <v>3</v>
      </c>
      <c r="G172" s="673"/>
      <c r="H172" s="448">
        <f>F172*G172</f>
        <v>0</v>
      </c>
      <c r="J172" s="123"/>
    </row>
    <row r="173" spans="1:10" s="114" customFormat="1" ht="13.5" customHeight="1">
      <c r="A173" s="457"/>
      <c r="B173" s="449"/>
      <c r="C173" s="449"/>
      <c r="D173" s="449" t="s">
        <v>484</v>
      </c>
      <c r="E173" s="449"/>
      <c r="F173" s="458">
        <v>3</v>
      </c>
      <c r="G173" s="677"/>
      <c r="H173" s="459"/>
      <c r="J173" s="117"/>
    </row>
    <row r="174" spans="1:10" s="114" customFormat="1" ht="13.5" customHeight="1">
      <c r="A174" s="457"/>
      <c r="B174" s="449"/>
      <c r="C174" s="449"/>
      <c r="D174" s="449" t="s">
        <v>485</v>
      </c>
      <c r="E174" s="449"/>
      <c r="F174" s="458"/>
      <c r="G174" s="677"/>
      <c r="H174" s="459"/>
      <c r="J174" s="117"/>
    </row>
    <row r="175" spans="1:10" s="114" customFormat="1" ht="13.5" customHeight="1">
      <c r="A175" s="445">
        <v>217</v>
      </c>
      <c r="B175" s="446">
        <v>766</v>
      </c>
      <c r="C175" s="446" t="s">
        <v>1393</v>
      </c>
      <c r="D175" s="446" t="s">
        <v>1394</v>
      </c>
      <c r="E175" s="446" t="s">
        <v>25</v>
      </c>
      <c r="F175" s="447">
        <f>F176</f>
        <v>11</v>
      </c>
      <c r="G175" s="673"/>
      <c r="H175" s="448">
        <f>F175*G175</f>
        <v>0</v>
      </c>
      <c r="J175" s="123"/>
    </row>
    <row r="176" spans="1:10" s="114" customFormat="1" ht="13.5" customHeight="1">
      <c r="A176" s="457"/>
      <c r="B176" s="449"/>
      <c r="C176" s="449"/>
      <c r="D176" s="449" t="s">
        <v>484</v>
      </c>
      <c r="E176" s="449"/>
      <c r="F176" s="458">
        <v>11</v>
      </c>
      <c r="G176" s="677"/>
      <c r="H176" s="459"/>
      <c r="J176" s="117"/>
    </row>
    <row r="177" spans="1:10" s="114" customFormat="1" ht="13.5" customHeight="1">
      <c r="A177" s="457"/>
      <c r="B177" s="449"/>
      <c r="C177" s="449"/>
      <c r="D177" s="449" t="s">
        <v>485</v>
      </c>
      <c r="E177" s="449"/>
      <c r="F177" s="458"/>
      <c r="G177" s="677"/>
      <c r="H177" s="459"/>
      <c r="J177" s="117"/>
    </row>
    <row r="178" spans="1:10" s="114" customFormat="1" ht="13.5" customHeight="1">
      <c r="A178" s="445">
        <v>220</v>
      </c>
      <c r="B178" s="446">
        <v>766</v>
      </c>
      <c r="C178" s="446" t="s">
        <v>513</v>
      </c>
      <c r="D178" s="446" t="s">
        <v>514</v>
      </c>
      <c r="E178" s="446" t="s">
        <v>25</v>
      </c>
      <c r="F178" s="447">
        <f>F179</f>
        <v>27</v>
      </c>
      <c r="G178" s="673"/>
      <c r="H178" s="448">
        <f>F178*G178</f>
        <v>0</v>
      </c>
      <c r="J178" s="123"/>
    </row>
    <row r="179" spans="1:10" s="114" customFormat="1" ht="13.5" customHeight="1">
      <c r="A179" s="457"/>
      <c r="B179" s="449"/>
      <c r="C179" s="449"/>
      <c r="D179" s="449" t="s">
        <v>515</v>
      </c>
      <c r="E179" s="449"/>
      <c r="F179" s="458">
        <v>27</v>
      </c>
      <c r="G179" s="677"/>
      <c r="H179" s="459"/>
      <c r="J179" s="117"/>
    </row>
    <row r="180" spans="1:10" s="114" customFormat="1" ht="13.5" customHeight="1">
      <c r="A180" s="457"/>
      <c r="B180" s="449"/>
      <c r="C180" s="449"/>
      <c r="D180" s="449" t="s">
        <v>485</v>
      </c>
      <c r="E180" s="449"/>
      <c r="F180" s="458"/>
      <c r="G180" s="677"/>
      <c r="H180" s="459"/>
      <c r="J180" s="117"/>
    </row>
    <row r="181" spans="1:10" s="114" customFormat="1" ht="13.5" customHeight="1">
      <c r="A181" s="445">
        <v>245</v>
      </c>
      <c r="B181" s="446">
        <v>998</v>
      </c>
      <c r="C181" s="446">
        <v>998766202</v>
      </c>
      <c r="D181" s="446" t="s">
        <v>601</v>
      </c>
      <c r="E181" s="446" t="s">
        <v>10</v>
      </c>
      <c r="F181" s="447">
        <v>1.08</v>
      </c>
      <c r="G181" s="673"/>
      <c r="H181" s="448">
        <f>F181*G181</f>
        <v>0</v>
      </c>
      <c r="J181" s="123"/>
    </row>
    <row r="182" spans="1:8" ht="15" customHeight="1">
      <c r="A182" s="441"/>
      <c r="B182" s="442"/>
      <c r="C182" s="442">
        <v>767</v>
      </c>
      <c r="D182" s="442" t="s">
        <v>604</v>
      </c>
      <c r="E182" s="442"/>
      <c r="F182" s="443"/>
      <c r="G182" s="678"/>
      <c r="H182" s="444">
        <f>SUM(H183:H186)</f>
        <v>0</v>
      </c>
    </row>
    <row r="183" spans="1:10" s="114" customFormat="1" ht="27" customHeight="1">
      <c r="A183" s="445">
        <v>253</v>
      </c>
      <c r="B183" s="446">
        <v>766</v>
      </c>
      <c r="C183" s="446" t="s">
        <v>1395</v>
      </c>
      <c r="D183" s="446" t="s">
        <v>1396</v>
      </c>
      <c r="E183" s="446" t="s">
        <v>25</v>
      </c>
      <c r="F183" s="447">
        <f>F184</f>
        <v>8</v>
      </c>
      <c r="G183" s="673"/>
      <c r="H183" s="448">
        <f>F183*G183</f>
        <v>0</v>
      </c>
      <c r="J183" s="123"/>
    </row>
    <row r="184" spans="1:10" s="114" customFormat="1" ht="13.5" customHeight="1">
      <c r="A184" s="457"/>
      <c r="B184" s="449"/>
      <c r="C184" s="449"/>
      <c r="D184" s="449" t="s">
        <v>1397</v>
      </c>
      <c r="E184" s="449"/>
      <c r="F184" s="458">
        <v>8</v>
      </c>
      <c r="G184" s="677"/>
      <c r="H184" s="459"/>
      <c r="J184" s="117"/>
    </row>
    <row r="185" spans="1:10" s="114" customFormat="1" ht="13.5" customHeight="1">
      <c r="A185" s="457"/>
      <c r="B185" s="449"/>
      <c r="C185" s="449"/>
      <c r="D185" s="449" t="s">
        <v>564</v>
      </c>
      <c r="E185" s="449"/>
      <c r="F185" s="458"/>
      <c r="G185" s="677"/>
      <c r="H185" s="459"/>
      <c r="J185" s="117"/>
    </row>
    <row r="186" spans="1:10" s="114" customFormat="1" ht="13.5" customHeight="1">
      <c r="A186" s="445">
        <v>275</v>
      </c>
      <c r="B186" s="446">
        <v>998</v>
      </c>
      <c r="C186" s="446">
        <v>998767202</v>
      </c>
      <c r="D186" s="446" t="s">
        <v>682</v>
      </c>
      <c r="E186" s="446" t="s">
        <v>10</v>
      </c>
      <c r="F186" s="447">
        <v>1.79</v>
      </c>
      <c r="G186" s="673"/>
      <c r="H186" s="448">
        <f>F186*G186</f>
        <v>0</v>
      </c>
      <c r="J186" s="123"/>
    </row>
    <row r="187" spans="1:8" ht="15" customHeight="1">
      <c r="A187" s="441"/>
      <c r="B187" s="442"/>
      <c r="C187" s="442">
        <v>771</v>
      </c>
      <c r="D187" s="442" t="s">
        <v>685</v>
      </c>
      <c r="E187" s="442"/>
      <c r="F187" s="443"/>
      <c r="G187" s="678"/>
      <c r="H187" s="444">
        <f>SUM(H188:H198)</f>
        <v>0</v>
      </c>
    </row>
    <row r="188" spans="1:10" s="114" customFormat="1" ht="13.5" customHeight="1">
      <c r="A188" s="445">
        <v>278</v>
      </c>
      <c r="B188" s="446">
        <v>771</v>
      </c>
      <c r="C188" s="446">
        <v>771121011</v>
      </c>
      <c r="D188" s="446" t="s">
        <v>690</v>
      </c>
      <c r="E188" s="446" t="s">
        <v>48</v>
      </c>
      <c r="F188" s="447">
        <f>F189</f>
        <v>20</v>
      </c>
      <c r="G188" s="673"/>
      <c r="H188" s="448">
        <f>F188*G188</f>
        <v>0</v>
      </c>
      <c r="J188" s="123"/>
    </row>
    <row r="189" spans="1:10" s="114" customFormat="1" ht="27" customHeight="1">
      <c r="A189" s="457"/>
      <c r="B189" s="449"/>
      <c r="C189" s="449"/>
      <c r="D189" s="449" t="s">
        <v>691</v>
      </c>
      <c r="E189" s="449"/>
      <c r="F189" s="458">
        <v>20</v>
      </c>
      <c r="G189" s="677"/>
      <c r="H189" s="459"/>
      <c r="J189" s="117"/>
    </row>
    <row r="190" spans="1:10" s="114" customFormat="1" ht="27" customHeight="1">
      <c r="A190" s="445">
        <v>279</v>
      </c>
      <c r="B190" s="446">
        <v>771</v>
      </c>
      <c r="C190" s="446" t="s">
        <v>692</v>
      </c>
      <c r="D190" s="446" t="s">
        <v>693</v>
      </c>
      <c r="E190" s="446" t="s">
        <v>48</v>
      </c>
      <c r="F190" s="447">
        <f>F196</f>
        <v>20</v>
      </c>
      <c r="G190" s="673"/>
      <c r="H190" s="448">
        <f>F190*G190</f>
        <v>0</v>
      </c>
      <c r="J190" s="123"/>
    </row>
    <row r="191" spans="1:10" s="114" customFormat="1" ht="13.5" customHeight="1">
      <c r="A191" s="457"/>
      <c r="B191" s="449"/>
      <c r="C191" s="449"/>
      <c r="D191" s="449" t="s">
        <v>219</v>
      </c>
      <c r="E191" s="449"/>
      <c r="F191" s="458"/>
      <c r="G191" s="677"/>
      <c r="H191" s="459"/>
      <c r="J191" s="117"/>
    </row>
    <row r="192" spans="1:10" s="114" customFormat="1" ht="13.5" customHeight="1">
      <c r="A192" s="457"/>
      <c r="B192" s="449"/>
      <c r="C192" s="449"/>
      <c r="D192" s="449" t="s">
        <v>694</v>
      </c>
      <c r="E192" s="449"/>
      <c r="F192" s="458"/>
      <c r="G192" s="677"/>
      <c r="H192" s="459"/>
      <c r="J192" s="117"/>
    </row>
    <row r="193" spans="1:10" s="114" customFormat="1" ht="13.5" customHeight="1">
      <c r="A193" s="457"/>
      <c r="B193" s="449"/>
      <c r="C193" s="449"/>
      <c r="D193" s="449" t="s">
        <v>695</v>
      </c>
      <c r="E193" s="449"/>
      <c r="F193" s="458"/>
      <c r="G193" s="677"/>
      <c r="H193" s="459"/>
      <c r="J193" s="117"/>
    </row>
    <row r="194" spans="1:10" s="114" customFormat="1" ht="13.5" customHeight="1">
      <c r="A194" s="457"/>
      <c r="B194" s="449"/>
      <c r="C194" s="449"/>
      <c r="D194" s="449" t="s">
        <v>696</v>
      </c>
      <c r="E194" s="449"/>
      <c r="F194" s="458"/>
      <c r="G194" s="677"/>
      <c r="H194" s="459"/>
      <c r="J194" s="117"/>
    </row>
    <row r="195" spans="1:10" s="114" customFormat="1" ht="13.5" customHeight="1">
      <c r="A195" s="457"/>
      <c r="B195" s="449"/>
      <c r="C195" s="449"/>
      <c r="D195" s="449" t="s">
        <v>697</v>
      </c>
      <c r="E195" s="449"/>
      <c r="F195" s="458"/>
      <c r="G195" s="677"/>
      <c r="H195" s="459"/>
      <c r="J195" s="117"/>
    </row>
    <row r="196" spans="1:10" s="114" customFormat="1" ht="27" customHeight="1">
      <c r="A196" s="457"/>
      <c r="B196" s="449"/>
      <c r="C196" s="449"/>
      <c r="D196" s="449" t="s">
        <v>698</v>
      </c>
      <c r="E196" s="449"/>
      <c r="F196" s="458">
        <v>20</v>
      </c>
      <c r="G196" s="677"/>
      <c r="H196" s="459"/>
      <c r="J196" s="117"/>
    </row>
    <row r="197" spans="1:10" s="114" customFormat="1" ht="13.5" customHeight="1">
      <c r="A197" s="457"/>
      <c r="B197" s="449"/>
      <c r="C197" s="449"/>
      <c r="D197" s="449" t="s">
        <v>699</v>
      </c>
      <c r="E197" s="449"/>
      <c r="F197" s="458"/>
      <c r="G197" s="677"/>
      <c r="H197" s="459"/>
      <c r="J197" s="117"/>
    </row>
    <row r="198" spans="1:10" s="114" customFormat="1" ht="13.5" customHeight="1">
      <c r="A198" s="445">
        <v>280</v>
      </c>
      <c r="B198" s="446">
        <v>998</v>
      </c>
      <c r="C198" s="446">
        <v>998771202</v>
      </c>
      <c r="D198" s="446" t="s">
        <v>700</v>
      </c>
      <c r="E198" s="446" t="s">
        <v>10</v>
      </c>
      <c r="F198" s="447">
        <v>6.58</v>
      </c>
      <c r="G198" s="673"/>
      <c r="H198" s="448">
        <f>F198*G198</f>
        <v>0</v>
      </c>
      <c r="J198" s="123"/>
    </row>
    <row r="199" spans="1:8" ht="15" customHeight="1">
      <c r="A199" s="441"/>
      <c r="B199" s="442"/>
      <c r="C199" s="442">
        <v>783</v>
      </c>
      <c r="D199" s="442" t="s">
        <v>716</v>
      </c>
      <c r="E199" s="442"/>
      <c r="F199" s="443"/>
      <c r="G199" s="678"/>
      <c r="H199" s="444">
        <f>SUM(H200:H206)</f>
        <v>0</v>
      </c>
    </row>
    <row r="200" spans="1:10" s="114" customFormat="1" ht="13.5" customHeight="1">
      <c r="A200" s="445">
        <v>284</v>
      </c>
      <c r="B200" s="446">
        <v>783</v>
      </c>
      <c r="C200" s="446">
        <v>783823181</v>
      </c>
      <c r="D200" s="446" t="s">
        <v>719</v>
      </c>
      <c r="E200" s="446" t="s">
        <v>48</v>
      </c>
      <c r="F200" s="447">
        <f>SUM(F201:F204)</f>
        <v>1224.2</v>
      </c>
      <c r="G200" s="673"/>
      <c r="H200" s="448">
        <f>F200*G200</f>
        <v>0</v>
      </c>
      <c r="J200" s="123"/>
    </row>
    <row r="201" spans="1:10" s="114" customFormat="1" ht="13.5" customHeight="1">
      <c r="A201" s="445"/>
      <c r="B201" s="446"/>
      <c r="C201" s="446"/>
      <c r="D201" s="449" t="s">
        <v>1474</v>
      </c>
      <c r="E201" s="446"/>
      <c r="F201" s="450">
        <v>200.1</v>
      </c>
      <c r="G201" s="673"/>
      <c r="H201" s="448"/>
      <c r="J201" s="123"/>
    </row>
    <row r="202" spans="1:10" s="114" customFormat="1" ht="15" customHeight="1">
      <c r="A202" s="445"/>
      <c r="B202" s="446"/>
      <c r="C202" s="446"/>
      <c r="D202" s="449" t="s">
        <v>1475</v>
      </c>
      <c r="E202" s="446"/>
      <c r="F202" s="450">
        <v>779.8</v>
      </c>
      <c r="G202" s="673"/>
      <c r="H202" s="448"/>
      <c r="J202" s="123"/>
    </row>
    <row r="203" spans="1:10" s="114" customFormat="1" ht="13.5" customHeight="1">
      <c r="A203" s="445"/>
      <c r="B203" s="446"/>
      <c r="C203" s="446"/>
      <c r="D203" s="449" t="s">
        <v>1398</v>
      </c>
      <c r="E203" s="446"/>
      <c r="F203" s="450">
        <v>126.9</v>
      </c>
      <c r="G203" s="673"/>
      <c r="H203" s="448"/>
      <c r="J203" s="123"/>
    </row>
    <row r="204" spans="1:10" s="114" customFormat="1" ht="27" customHeight="1">
      <c r="A204" s="445"/>
      <c r="B204" s="446"/>
      <c r="C204" s="446"/>
      <c r="D204" s="449" t="s">
        <v>1399</v>
      </c>
      <c r="E204" s="446"/>
      <c r="F204" s="450">
        <v>117.4</v>
      </c>
      <c r="G204" s="673"/>
      <c r="H204" s="448"/>
      <c r="J204" s="123"/>
    </row>
    <row r="205" spans="1:10" s="114" customFormat="1" ht="13.5" customHeight="1">
      <c r="A205" s="445">
        <v>285</v>
      </c>
      <c r="B205" s="446">
        <v>783</v>
      </c>
      <c r="C205" s="446">
        <v>783826645</v>
      </c>
      <c r="D205" s="446" t="s">
        <v>724</v>
      </c>
      <c r="E205" s="446" t="s">
        <v>48</v>
      </c>
      <c r="F205" s="447">
        <f>F206</f>
        <v>80</v>
      </c>
      <c r="G205" s="673"/>
      <c r="H205" s="448">
        <f>F205*G205</f>
        <v>0</v>
      </c>
      <c r="J205" s="123"/>
    </row>
    <row r="206" spans="1:10" s="114" customFormat="1" ht="15.6" customHeight="1">
      <c r="A206" s="445"/>
      <c r="B206" s="446"/>
      <c r="C206" s="446"/>
      <c r="D206" s="449" t="s">
        <v>1476</v>
      </c>
      <c r="E206" s="446"/>
      <c r="F206" s="450">
        <v>80</v>
      </c>
      <c r="G206" s="673"/>
      <c r="H206" s="448"/>
      <c r="J206" s="123"/>
    </row>
    <row r="207" spans="1:8" ht="15" customHeight="1">
      <c r="A207" s="441"/>
      <c r="B207" s="442"/>
      <c r="C207" s="442">
        <v>790</v>
      </c>
      <c r="D207" s="442" t="s">
        <v>136</v>
      </c>
      <c r="E207" s="442"/>
      <c r="F207" s="443"/>
      <c r="G207" s="678"/>
      <c r="H207" s="444">
        <f>SUM(H208:H217)</f>
        <v>0</v>
      </c>
    </row>
    <row r="208" spans="1:10" s="114" customFormat="1" ht="13.5" customHeight="1">
      <c r="A208" s="445">
        <v>293</v>
      </c>
      <c r="B208" s="455" t="s">
        <v>775</v>
      </c>
      <c r="C208" s="446" t="s">
        <v>776</v>
      </c>
      <c r="D208" s="446" t="s">
        <v>777</v>
      </c>
      <c r="E208" s="446" t="s">
        <v>139</v>
      </c>
      <c r="F208" s="447">
        <f>F209</f>
        <v>343.6</v>
      </c>
      <c r="G208" s="673"/>
      <c r="H208" s="448">
        <f>F208*G208</f>
        <v>0</v>
      </c>
      <c r="J208" s="123"/>
    </row>
    <row r="209" spans="1:10" s="114" customFormat="1" ht="13.5" customHeight="1">
      <c r="A209" s="457"/>
      <c r="B209" s="449"/>
      <c r="C209" s="449"/>
      <c r="D209" s="449" t="s">
        <v>778</v>
      </c>
      <c r="E209" s="449"/>
      <c r="F209" s="458">
        <v>343.6</v>
      </c>
      <c r="G209" s="677"/>
      <c r="H209" s="459"/>
      <c r="J209" s="117"/>
    </row>
    <row r="210" spans="1:10" s="114" customFormat="1" ht="13.5" customHeight="1">
      <c r="A210" s="457"/>
      <c r="B210" s="449"/>
      <c r="C210" s="449"/>
      <c r="D210" s="449" t="s">
        <v>412</v>
      </c>
      <c r="E210" s="449"/>
      <c r="F210" s="458"/>
      <c r="G210" s="677"/>
      <c r="H210" s="459"/>
      <c r="J210" s="117"/>
    </row>
    <row r="211" spans="1:10" s="114" customFormat="1" ht="27" customHeight="1">
      <c r="A211" s="445">
        <v>301</v>
      </c>
      <c r="B211" s="455" t="s">
        <v>775</v>
      </c>
      <c r="C211" s="446" t="s">
        <v>798</v>
      </c>
      <c r="D211" s="446" t="s">
        <v>799</v>
      </c>
      <c r="E211" s="446" t="s">
        <v>25</v>
      </c>
      <c r="F211" s="447">
        <f>F212</f>
        <v>22</v>
      </c>
      <c r="G211" s="673"/>
      <c r="H211" s="448">
        <f>F211*G211</f>
        <v>0</v>
      </c>
      <c r="J211" s="123"/>
    </row>
    <row r="212" spans="1:10" s="114" customFormat="1" ht="27" customHeight="1">
      <c r="A212" s="457"/>
      <c r="B212" s="449"/>
      <c r="C212" s="449"/>
      <c r="D212" s="449" t="s">
        <v>800</v>
      </c>
      <c r="E212" s="449"/>
      <c r="F212" s="458">
        <v>22</v>
      </c>
      <c r="G212" s="677"/>
      <c r="H212" s="459"/>
      <c r="J212" s="117"/>
    </row>
    <row r="213" spans="1:10" s="114" customFormat="1" ht="13.5" customHeight="1">
      <c r="A213" s="457"/>
      <c r="B213" s="449"/>
      <c r="C213" s="449"/>
      <c r="D213" s="449" t="s">
        <v>801</v>
      </c>
      <c r="E213" s="449"/>
      <c r="F213" s="458"/>
      <c r="G213" s="677"/>
      <c r="H213" s="459"/>
      <c r="J213" s="117"/>
    </row>
    <row r="214" spans="1:10" s="114" customFormat="1" ht="28.35" customHeight="1">
      <c r="A214" s="445">
        <v>319</v>
      </c>
      <c r="B214" s="455" t="s">
        <v>775</v>
      </c>
      <c r="C214" s="446" t="s">
        <v>847</v>
      </c>
      <c r="D214" s="446" t="s">
        <v>848</v>
      </c>
      <c r="E214" s="446" t="s">
        <v>25</v>
      </c>
      <c r="F214" s="447">
        <f>F215</f>
        <v>34</v>
      </c>
      <c r="G214" s="673"/>
      <c r="H214" s="448">
        <f>F214*G214</f>
        <v>0</v>
      </c>
      <c r="J214" s="123"/>
    </row>
    <row r="215" spans="1:10" s="114" customFormat="1" ht="28.35" customHeight="1">
      <c r="A215" s="457"/>
      <c r="B215" s="449"/>
      <c r="C215" s="449"/>
      <c r="D215" s="449" t="s">
        <v>849</v>
      </c>
      <c r="E215" s="449"/>
      <c r="F215" s="458">
        <v>34</v>
      </c>
      <c r="G215" s="677"/>
      <c r="H215" s="459"/>
      <c r="J215" s="117"/>
    </row>
    <row r="216" spans="1:10" s="114" customFormat="1" ht="28.35" customHeight="1">
      <c r="A216" s="445">
        <v>320</v>
      </c>
      <c r="B216" s="455" t="s">
        <v>775</v>
      </c>
      <c r="C216" s="446" t="s">
        <v>850</v>
      </c>
      <c r="D216" s="446" t="s">
        <v>851</v>
      </c>
      <c r="E216" s="446" t="s">
        <v>25</v>
      </c>
      <c r="F216" s="447">
        <f>F217</f>
        <v>5</v>
      </c>
      <c r="G216" s="673"/>
      <c r="H216" s="448">
        <f>F216*G216</f>
        <v>0</v>
      </c>
      <c r="J216" s="123"/>
    </row>
    <row r="217" spans="1:10" s="114" customFormat="1" ht="36" customHeight="1">
      <c r="A217" s="457"/>
      <c r="B217" s="449"/>
      <c r="C217" s="449"/>
      <c r="D217" s="449" t="s">
        <v>852</v>
      </c>
      <c r="E217" s="449"/>
      <c r="F217" s="458">
        <v>5</v>
      </c>
      <c r="G217" s="677"/>
      <c r="H217" s="459"/>
      <c r="J217" s="117"/>
    </row>
    <row r="218" spans="1:8" ht="13.5" customHeight="1">
      <c r="A218" s="463"/>
      <c r="B218" s="464"/>
      <c r="C218" s="464"/>
      <c r="D218" s="464"/>
      <c r="E218" s="464"/>
      <c r="F218" s="465"/>
      <c r="G218" s="466"/>
      <c r="H218" s="466"/>
    </row>
    <row r="219" spans="1:8" ht="15">
      <c r="A219" s="706" t="s">
        <v>860</v>
      </c>
      <c r="B219" s="706"/>
      <c r="C219" s="706"/>
      <c r="D219" s="467"/>
      <c r="E219" s="468"/>
      <c r="F219" s="469"/>
      <c r="G219" s="470"/>
      <c r="H219" s="471">
        <f>H60+H8</f>
        <v>0</v>
      </c>
    </row>
    <row r="220" spans="1:8" ht="15">
      <c r="A220" s="472"/>
      <c r="B220" s="473"/>
      <c r="C220" s="473"/>
      <c r="D220" s="464"/>
      <c r="E220" s="474"/>
      <c r="F220" s="475"/>
      <c r="G220" s="476"/>
      <c r="H220" s="466"/>
    </row>
    <row r="221" spans="1:8" ht="15">
      <c r="A221" s="477" t="s">
        <v>20</v>
      </c>
      <c r="B221" s="477"/>
      <c r="C221" s="477"/>
      <c r="D221" s="477"/>
      <c r="E221" s="477"/>
      <c r="F221" s="477"/>
      <c r="G221" s="478"/>
      <c r="H221" s="477"/>
    </row>
    <row r="222" spans="1:8" ht="27" customHeight="1">
      <c r="A222" s="707" t="s">
        <v>27</v>
      </c>
      <c r="B222" s="707"/>
      <c r="C222" s="707"/>
      <c r="D222" s="707"/>
      <c r="E222" s="707"/>
      <c r="F222" s="707"/>
      <c r="G222" s="707"/>
      <c r="H222" s="477"/>
    </row>
  </sheetData>
  <sheetProtection password="DF1B" sheet="1" objects="1" scenarios="1"/>
  <mergeCells count="2">
    <mergeCell ref="A219:C219"/>
    <mergeCell ref="A222:G222"/>
  </mergeCells>
  <printOptions/>
  <pageMargins left="0" right="0" top="0" bottom="0" header="0" footer="0"/>
  <pageSetup fitToHeight="99" fitToWidth="1"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workbookViewId="0" topLeftCell="A1">
      <selection activeCell="O44" sqref="O44"/>
    </sheetView>
  </sheetViews>
  <sheetFormatPr defaultColWidth="11.421875" defaultRowHeight="15"/>
  <cols>
    <col min="1" max="2" width="3.7109375" style="175" customWidth="1"/>
    <col min="3" max="3" width="13.28125" style="175" customWidth="1"/>
    <col min="4" max="4" width="71.421875" style="175" customWidth="1"/>
    <col min="5" max="5" width="4.28125" style="175" customWidth="1"/>
    <col min="6" max="6" width="10.8515625" style="175" customWidth="1"/>
    <col min="7" max="7" width="12.00390625" style="175" customWidth="1"/>
    <col min="8" max="9" width="13.140625" style="175" customWidth="1"/>
    <col min="10" max="10" width="13.28125" style="175" customWidth="1"/>
    <col min="11" max="12" width="11.7109375" style="175" customWidth="1"/>
    <col min="13" max="256" width="11.421875" style="175" customWidth="1"/>
    <col min="257" max="258" width="3.7109375" style="175" customWidth="1"/>
    <col min="259" max="259" width="13.28125" style="175" customWidth="1"/>
    <col min="260" max="260" width="34.140625" style="175" customWidth="1"/>
    <col min="261" max="261" width="4.28125" style="175" customWidth="1"/>
    <col min="262" max="262" width="10.8515625" style="175" customWidth="1"/>
    <col min="263" max="263" width="12.00390625" style="175" customWidth="1"/>
    <col min="264" max="265" width="13.140625" style="175" customWidth="1"/>
    <col min="266" max="266" width="13.28125" style="175" customWidth="1"/>
    <col min="267" max="268" width="11.7109375" style="175" customWidth="1"/>
    <col min="269" max="512" width="11.421875" style="175" customWidth="1"/>
    <col min="513" max="514" width="3.7109375" style="175" customWidth="1"/>
    <col min="515" max="515" width="13.28125" style="175" customWidth="1"/>
    <col min="516" max="516" width="34.140625" style="175" customWidth="1"/>
    <col min="517" max="517" width="4.28125" style="175" customWidth="1"/>
    <col min="518" max="518" width="10.8515625" style="175" customWidth="1"/>
    <col min="519" max="519" width="12.00390625" style="175" customWidth="1"/>
    <col min="520" max="521" width="13.140625" style="175" customWidth="1"/>
    <col min="522" max="522" width="13.28125" style="175" customWidth="1"/>
    <col min="523" max="524" width="11.7109375" style="175" customWidth="1"/>
    <col min="525" max="768" width="11.421875" style="175" customWidth="1"/>
    <col min="769" max="770" width="3.7109375" style="175" customWidth="1"/>
    <col min="771" max="771" width="13.28125" style="175" customWidth="1"/>
    <col min="772" max="772" width="34.140625" style="175" customWidth="1"/>
    <col min="773" max="773" width="4.28125" style="175" customWidth="1"/>
    <col min="774" max="774" width="10.8515625" style="175" customWidth="1"/>
    <col min="775" max="775" width="12.00390625" style="175" customWidth="1"/>
    <col min="776" max="777" width="13.140625" style="175" customWidth="1"/>
    <col min="778" max="778" width="13.28125" style="175" customWidth="1"/>
    <col min="779" max="780" width="11.7109375" style="175" customWidth="1"/>
    <col min="781" max="1024" width="11.421875" style="175" customWidth="1"/>
  </cols>
  <sheetData>
    <row r="1" spans="1:8" s="83" customFormat="1" ht="21">
      <c r="A1" s="74" t="s">
        <v>1453</v>
      </c>
      <c r="B1" s="75"/>
      <c r="C1" s="75"/>
      <c r="D1" s="75"/>
      <c r="E1" s="75"/>
      <c r="F1" s="75"/>
      <c r="G1" s="85"/>
      <c r="H1" s="75"/>
    </row>
    <row r="2" spans="1:8" ht="15">
      <c r="A2" s="76" t="s">
        <v>28</v>
      </c>
      <c r="B2" s="76"/>
      <c r="C2" s="77"/>
      <c r="D2" s="77"/>
      <c r="E2" s="77"/>
      <c r="F2" s="77"/>
      <c r="G2" s="85"/>
      <c r="H2" s="75"/>
    </row>
    <row r="3" spans="1:8" ht="15">
      <c r="A3" s="76" t="s">
        <v>24</v>
      </c>
      <c r="B3" s="78"/>
      <c r="C3" s="79"/>
      <c r="D3" s="80"/>
      <c r="E3" s="80"/>
      <c r="F3" s="80"/>
      <c r="G3" s="81"/>
      <c r="H3" s="80"/>
    </row>
    <row r="4" spans="1:8" ht="15">
      <c r="A4" s="76" t="s">
        <v>1115</v>
      </c>
      <c r="B4" s="78"/>
      <c r="C4" s="79"/>
      <c r="D4" s="80"/>
      <c r="E4" s="80"/>
      <c r="F4" s="80"/>
      <c r="G4" s="81"/>
      <c r="H4" s="80"/>
    </row>
    <row r="5" ht="15" thickBot="1"/>
    <row r="6" spans="1:13" s="254" customFormat="1" ht="13.2">
      <c r="A6" s="250" t="s">
        <v>1116</v>
      </c>
      <c r="B6" s="251" t="s">
        <v>1116</v>
      </c>
      <c r="C6" s="251" t="s">
        <v>1116</v>
      </c>
      <c r="D6" s="251" t="s">
        <v>1116</v>
      </c>
      <c r="E6" s="251" t="s">
        <v>1116</v>
      </c>
      <c r="F6" s="251" t="s">
        <v>1116</v>
      </c>
      <c r="G6" s="252" t="s">
        <v>1117</v>
      </c>
      <c r="H6" s="708" t="s">
        <v>1118</v>
      </c>
      <c r="I6" s="709"/>
      <c r="J6" s="710"/>
      <c r="K6" s="708" t="s">
        <v>1119</v>
      </c>
      <c r="L6" s="710"/>
      <c r="M6" s="253"/>
    </row>
    <row r="7" spans="1:13" s="254" customFormat="1" ht="13.8" thickBot="1">
      <c r="A7" s="255" t="s">
        <v>1120</v>
      </c>
      <c r="B7" s="256" t="s">
        <v>1121</v>
      </c>
      <c r="C7" s="256" t="s">
        <v>864</v>
      </c>
      <c r="D7" s="256" t="s">
        <v>1122</v>
      </c>
      <c r="E7" s="256" t="s">
        <v>1123</v>
      </c>
      <c r="F7" s="257" t="s">
        <v>865</v>
      </c>
      <c r="G7" s="258" t="s">
        <v>1124</v>
      </c>
      <c r="H7" s="259" t="s">
        <v>1125</v>
      </c>
      <c r="I7" s="260" t="s">
        <v>1126</v>
      </c>
      <c r="J7" s="261" t="s">
        <v>26</v>
      </c>
      <c r="K7" s="259" t="s">
        <v>1117</v>
      </c>
      <c r="L7" s="261" t="s">
        <v>26</v>
      </c>
      <c r="M7" s="253"/>
    </row>
    <row r="8" spans="1:12" s="254" customFormat="1" ht="13.2">
      <c r="A8" s="262"/>
      <c r="B8" s="262"/>
      <c r="C8" s="428"/>
      <c r="D8" s="711" t="s">
        <v>1131</v>
      </c>
      <c r="E8" s="712"/>
      <c r="F8" s="712"/>
      <c r="G8" s="712"/>
      <c r="H8" s="263">
        <f>H9+H40+H42+H44</f>
        <v>0</v>
      </c>
      <c r="I8" s="263">
        <f>I9+I40+I42+I44</f>
        <v>0</v>
      </c>
      <c r="J8" s="263">
        <f aca="true" t="shared" si="0" ref="J8:J54">H8+I8</f>
        <v>0</v>
      </c>
      <c r="K8" s="264"/>
      <c r="L8" s="263">
        <f>L9+L40+L42+L44</f>
        <v>0.06445000000000001</v>
      </c>
    </row>
    <row r="9" spans="1:12" s="254" customFormat="1" ht="13.2">
      <c r="A9" s="265"/>
      <c r="B9" s="265"/>
      <c r="C9" s="429" t="s">
        <v>1127</v>
      </c>
      <c r="D9" s="713" t="s">
        <v>1128</v>
      </c>
      <c r="E9" s="714"/>
      <c r="F9" s="714"/>
      <c r="G9" s="714"/>
      <c r="H9" s="266">
        <f>SUM(H10:H39)</f>
        <v>0</v>
      </c>
      <c r="I9" s="266">
        <f>SUM(I10:I39)</f>
        <v>0</v>
      </c>
      <c r="J9" s="266">
        <f t="shared" si="0"/>
        <v>0</v>
      </c>
      <c r="K9" s="267"/>
      <c r="L9" s="266">
        <f>SUM(L10:L39)</f>
        <v>0.06445000000000001</v>
      </c>
    </row>
    <row r="10" spans="1:12" s="254" customFormat="1" ht="13.2">
      <c r="A10" s="268" t="s">
        <v>37</v>
      </c>
      <c r="B10" s="268" t="s">
        <v>1132</v>
      </c>
      <c r="C10" s="268" t="s">
        <v>1133</v>
      </c>
      <c r="D10" s="268" t="s">
        <v>1134</v>
      </c>
      <c r="E10" s="268" t="s">
        <v>139</v>
      </c>
      <c r="F10" s="269">
        <v>25</v>
      </c>
      <c r="G10" s="670"/>
      <c r="H10" s="269">
        <f>F10*G10*0.240012292562999</f>
        <v>0</v>
      </c>
      <c r="I10" s="269">
        <f>F10*G10*(1-0.240012292562999)</f>
        <v>0</v>
      </c>
      <c r="J10" s="269">
        <f t="shared" si="0"/>
        <v>0</v>
      </c>
      <c r="K10" s="269">
        <v>9E-05</v>
      </c>
      <c r="L10" s="269">
        <f aca="true" t="shared" si="1" ref="L10:L39">F10*K10</f>
        <v>0.0022500000000000003</v>
      </c>
    </row>
    <row r="11" spans="1:12" s="254" customFormat="1" ht="13.2">
      <c r="A11" s="268" t="s">
        <v>38</v>
      </c>
      <c r="B11" s="268" t="s">
        <v>1132</v>
      </c>
      <c r="C11" s="268" t="s">
        <v>1135</v>
      </c>
      <c r="D11" s="268" t="s">
        <v>1136</v>
      </c>
      <c r="E11" s="268" t="s">
        <v>139</v>
      </c>
      <c r="F11" s="269">
        <v>176</v>
      </c>
      <c r="G11" s="670"/>
      <c r="H11" s="269">
        <f>F11*G11*0.582901554404145</f>
        <v>0</v>
      </c>
      <c r="I11" s="269">
        <f>F11*G11*(1-0.582901554404145)</f>
        <v>0</v>
      </c>
      <c r="J11" s="269">
        <f t="shared" si="0"/>
        <v>0</v>
      </c>
      <c r="K11" s="269">
        <v>0</v>
      </c>
      <c r="L11" s="269">
        <f t="shared" si="1"/>
        <v>0</v>
      </c>
    </row>
    <row r="12" spans="1:12" s="254" customFormat="1" ht="13.2">
      <c r="A12" s="268" t="s">
        <v>39</v>
      </c>
      <c r="B12" s="268" t="s">
        <v>1132</v>
      </c>
      <c r="C12" s="268" t="s">
        <v>1137</v>
      </c>
      <c r="D12" s="268" t="s">
        <v>1138</v>
      </c>
      <c r="E12" s="268" t="s">
        <v>139</v>
      </c>
      <c r="F12" s="269">
        <v>24</v>
      </c>
      <c r="G12" s="670"/>
      <c r="H12" s="269">
        <f>F12*G12*0.421214450422752</f>
        <v>0</v>
      </c>
      <c r="I12" s="269">
        <f>F12*G12*(1-0.421214450422752)</f>
        <v>0</v>
      </c>
      <c r="J12" s="269">
        <f t="shared" si="0"/>
        <v>0</v>
      </c>
      <c r="K12" s="269">
        <v>0</v>
      </c>
      <c r="L12" s="269">
        <f t="shared" si="1"/>
        <v>0</v>
      </c>
    </row>
    <row r="13" spans="1:12" s="254" customFormat="1" ht="13.2">
      <c r="A13" s="268" t="s">
        <v>40</v>
      </c>
      <c r="B13" s="268" t="s">
        <v>1132</v>
      </c>
      <c r="C13" s="268" t="s">
        <v>1129</v>
      </c>
      <c r="D13" s="268" t="s">
        <v>1130</v>
      </c>
      <c r="E13" s="268" t="s">
        <v>25</v>
      </c>
      <c r="F13" s="269">
        <v>15</v>
      </c>
      <c r="G13" s="670"/>
      <c r="H13" s="269">
        <f>F13*G13*0.244600431965443</f>
        <v>0</v>
      </c>
      <c r="I13" s="269">
        <f>F13*G13*(1-0.244600431965443)</f>
        <v>0</v>
      </c>
      <c r="J13" s="269">
        <f t="shared" si="0"/>
        <v>0</v>
      </c>
      <c r="K13" s="269">
        <v>0</v>
      </c>
      <c r="L13" s="269">
        <f t="shared" si="1"/>
        <v>0</v>
      </c>
    </row>
    <row r="14" spans="1:12" s="254" customFormat="1" ht="13.2">
      <c r="A14" s="268" t="s">
        <v>41</v>
      </c>
      <c r="B14" s="268" t="s">
        <v>1132</v>
      </c>
      <c r="C14" s="268" t="s">
        <v>1139</v>
      </c>
      <c r="D14" s="268" t="s">
        <v>1140</v>
      </c>
      <c r="E14" s="268" t="s">
        <v>25</v>
      </c>
      <c r="F14" s="269">
        <v>5</v>
      </c>
      <c r="G14" s="670"/>
      <c r="H14" s="269">
        <f>F14*G14*0.72926162260711</f>
        <v>0</v>
      </c>
      <c r="I14" s="269">
        <f>F14*G14*(1-0.72926162260711)</f>
        <v>0</v>
      </c>
      <c r="J14" s="269">
        <f t="shared" si="0"/>
        <v>0</v>
      </c>
      <c r="K14" s="269">
        <v>0</v>
      </c>
      <c r="L14" s="269">
        <f t="shared" si="1"/>
        <v>0</v>
      </c>
    </row>
    <row r="15" spans="1:12" s="254" customFormat="1" ht="13.2">
      <c r="A15" s="268" t="s">
        <v>42</v>
      </c>
      <c r="B15" s="268" t="s">
        <v>1132</v>
      </c>
      <c r="C15" s="268" t="s">
        <v>1141</v>
      </c>
      <c r="D15" s="268" t="s">
        <v>1142</v>
      </c>
      <c r="E15" s="268" t="s">
        <v>1143</v>
      </c>
      <c r="F15" s="269">
        <v>8</v>
      </c>
      <c r="G15" s="670"/>
      <c r="H15" s="269">
        <f>F15*G15*0.519551107842824</f>
        <v>0</v>
      </c>
      <c r="I15" s="269">
        <f>F15*G15*(1-0.519551107842824)</f>
        <v>0</v>
      </c>
      <c r="J15" s="269">
        <f t="shared" si="0"/>
        <v>0</v>
      </c>
      <c r="K15" s="269">
        <v>0</v>
      </c>
      <c r="L15" s="269">
        <f t="shared" si="1"/>
        <v>0</v>
      </c>
    </row>
    <row r="16" spans="1:12" s="254" customFormat="1" ht="13.2">
      <c r="A16" s="268" t="s">
        <v>43</v>
      </c>
      <c r="B16" s="268" t="s">
        <v>1132</v>
      </c>
      <c r="C16" s="268" t="s">
        <v>1144</v>
      </c>
      <c r="D16" s="268" t="s">
        <v>1145</v>
      </c>
      <c r="E16" s="268" t="s">
        <v>25</v>
      </c>
      <c r="F16" s="269">
        <v>127</v>
      </c>
      <c r="G16" s="670"/>
      <c r="H16" s="269">
        <f>F16*G16*0.242954324586978</f>
        <v>0</v>
      </c>
      <c r="I16" s="269">
        <f>F16*G16*(1-0.242954324586978)</f>
        <v>0</v>
      </c>
      <c r="J16" s="269">
        <f t="shared" si="0"/>
        <v>0</v>
      </c>
      <c r="K16" s="269">
        <v>0</v>
      </c>
      <c r="L16" s="269">
        <f t="shared" si="1"/>
        <v>0</v>
      </c>
    </row>
    <row r="17" spans="1:12" s="254" customFormat="1" ht="13.2">
      <c r="A17" s="268" t="s">
        <v>906</v>
      </c>
      <c r="B17" s="268" t="s">
        <v>1132</v>
      </c>
      <c r="C17" s="268" t="s">
        <v>1146</v>
      </c>
      <c r="D17" s="268" t="s">
        <v>1147</v>
      </c>
      <c r="E17" s="268" t="s">
        <v>25</v>
      </c>
      <c r="F17" s="269">
        <f>5-1</f>
        <v>4</v>
      </c>
      <c r="G17" s="670"/>
      <c r="H17" s="269">
        <f>F17*G17*0.828767824089146</f>
        <v>0</v>
      </c>
      <c r="I17" s="269">
        <f>F17*G17*(1-0.828767824089146)</f>
        <v>0</v>
      </c>
      <c r="J17" s="269">
        <f t="shared" si="0"/>
        <v>0</v>
      </c>
      <c r="K17" s="269">
        <v>0</v>
      </c>
      <c r="L17" s="269">
        <f t="shared" si="1"/>
        <v>0</v>
      </c>
    </row>
    <row r="18" spans="1:12" s="254" customFormat="1" ht="13.2">
      <c r="A18" s="268" t="s">
        <v>910</v>
      </c>
      <c r="B18" s="268" t="s">
        <v>1132</v>
      </c>
      <c r="C18" s="268" t="s">
        <v>1148</v>
      </c>
      <c r="D18" s="268" t="s">
        <v>1149</v>
      </c>
      <c r="E18" s="268" t="s">
        <v>25</v>
      </c>
      <c r="F18" s="269">
        <v>22</v>
      </c>
      <c r="G18" s="670"/>
      <c r="H18" s="269">
        <f>F18*G18*0.826297722317577</f>
        <v>0</v>
      </c>
      <c r="I18" s="269">
        <f>F18*G18*(1-0.826297722317577)</f>
        <v>0</v>
      </c>
      <c r="J18" s="269">
        <f t="shared" si="0"/>
        <v>0</v>
      </c>
      <c r="K18" s="269">
        <v>0</v>
      </c>
      <c r="L18" s="269">
        <f t="shared" si="1"/>
        <v>0</v>
      </c>
    </row>
    <row r="19" spans="1:12" s="254" customFormat="1" ht="13.2">
      <c r="A19" s="268" t="s">
        <v>914</v>
      </c>
      <c r="B19" s="268" t="s">
        <v>1132</v>
      </c>
      <c r="C19" s="268" t="s">
        <v>1150</v>
      </c>
      <c r="D19" s="268" t="s">
        <v>1151</v>
      </c>
      <c r="E19" s="268" t="s">
        <v>25</v>
      </c>
      <c r="F19" s="269">
        <v>3</v>
      </c>
      <c r="G19" s="670"/>
      <c r="H19" s="269">
        <f>F19*G19*0.905472218292221</f>
        <v>0</v>
      </c>
      <c r="I19" s="269">
        <f>F19*G19*(1-0.905472218292221)</f>
        <v>0</v>
      </c>
      <c r="J19" s="269">
        <f t="shared" si="0"/>
        <v>0</v>
      </c>
      <c r="K19" s="269">
        <v>0</v>
      </c>
      <c r="L19" s="269">
        <f t="shared" si="1"/>
        <v>0</v>
      </c>
    </row>
    <row r="20" spans="1:12" s="254" customFormat="1" ht="13.2">
      <c r="A20" s="268" t="s">
        <v>918</v>
      </c>
      <c r="B20" s="268" t="s">
        <v>1132</v>
      </c>
      <c r="C20" s="268" t="s">
        <v>1152</v>
      </c>
      <c r="D20" s="268" t="s">
        <v>1153</v>
      </c>
      <c r="E20" s="268" t="s">
        <v>1143</v>
      </c>
      <c r="F20" s="269">
        <v>32</v>
      </c>
      <c r="G20" s="670"/>
      <c r="H20" s="269">
        <f>F20*G20*0</f>
        <v>0</v>
      </c>
      <c r="I20" s="269">
        <f>F20*G20*(1-0)</f>
        <v>0</v>
      </c>
      <c r="J20" s="269">
        <f t="shared" si="0"/>
        <v>0</v>
      </c>
      <c r="K20" s="269">
        <v>0</v>
      </c>
      <c r="L20" s="269">
        <f t="shared" si="1"/>
        <v>0</v>
      </c>
    </row>
    <row r="21" spans="1:12" s="254" customFormat="1" ht="13.2">
      <c r="A21" s="268" t="s">
        <v>922</v>
      </c>
      <c r="B21" s="268" t="s">
        <v>1132</v>
      </c>
      <c r="C21" s="268" t="s">
        <v>1154</v>
      </c>
      <c r="D21" s="268" t="s">
        <v>1155</v>
      </c>
      <c r="E21" s="268" t="s">
        <v>25</v>
      </c>
      <c r="F21" s="269">
        <v>16</v>
      </c>
      <c r="G21" s="670"/>
      <c r="H21" s="269">
        <f>F21*G21*0</f>
        <v>0</v>
      </c>
      <c r="I21" s="269">
        <f>F21*G21*(1-0)</f>
        <v>0</v>
      </c>
      <c r="J21" s="269">
        <f t="shared" si="0"/>
        <v>0</v>
      </c>
      <c r="K21" s="269">
        <v>0</v>
      </c>
      <c r="L21" s="269">
        <f t="shared" si="1"/>
        <v>0</v>
      </c>
    </row>
    <row r="22" spans="1:12" s="254" customFormat="1" ht="13.2">
      <c r="A22" s="268" t="s">
        <v>926</v>
      </c>
      <c r="B22" s="268" t="s">
        <v>1132</v>
      </c>
      <c r="C22" s="268" t="s">
        <v>1156</v>
      </c>
      <c r="D22" s="268" t="s">
        <v>1157</v>
      </c>
      <c r="E22" s="268" t="s">
        <v>1143</v>
      </c>
      <c r="F22" s="269">
        <v>32</v>
      </c>
      <c r="G22" s="670"/>
      <c r="H22" s="269">
        <f>F22*G22*1</f>
        <v>0</v>
      </c>
      <c r="I22" s="269">
        <f>F22*G22*(1-1)</f>
        <v>0</v>
      </c>
      <c r="J22" s="269">
        <f t="shared" si="0"/>
        <v>0</v>
      </c>
      <c r="K22" s="269">
        <v>0</v>
      </c>
      <c r="L22" s="269">
        <f t="shared" si="1"/>
        <v>0</v>
      </c>
    </row>
    <row r="23" spans="1:12" s="254" customFormat="1" ht="13.2">
      <c r="A23" s="268" t="s">
        <v>930</v>
      </c>
      <c r="B23" s="268" t="s">
        <v>1132</v>
      </c>
      <c r="C23" s="268" t="s">
        <v>1158</v>
      </c>
      <c r="D23" s="268" t="s">
        <v>1159</v>
      </c>
      <c r="E23" s="268" t="s">
        <v>1143</v>
      </c>
      <c r="F23" s="269">
        <v>32</v>
      </c>
      <c r="G23" s="670"/>
      <c r="H23" s="269">
        <f>F23*G23*0.442524869897688</f>
        <v>0</v>
      </c>
      <c r="I23" s="269">
        <f>F23*G23*(1-0.442524869897688)</f>
        <v>0</v>
      </c>
      <c r="J23" s="269">
        <f t="shared" si="0"/>
        <v>0</v>
      </c>
      <c r="K23" s="269">
        <v>0</v>
      </c>
      <c r="L23" s="269">
        <f t="shared" si="1"/>
        <v>0</v>
      </c>
    </row>
    <row r="24" spans="1:12" s="254" customFormat="1" ht="13.2">
      <c r="A24" s="268" t="s">
        <v>934</v>
      </c>
      <c r="B24" s="268" t="s">
        <v>1132</v>
      </c>
      <c r="C24" s="268" t="s">
        <v>1160</v>
      </c>
      <c r="D24" s="268" t="s">
        <v>1161</v>
      </c>
      <c r="E24" s="268" t="s">
        <v>25</v>
      </c>
      <c r="F24" s="269">
        <v>30</v>
      </c>
      <c r="G24" s="670"/>
      <c r="H24" s="269">
        <f>F24*G24*0</f>
        <v>0</v>
      </c>
      <c r="I24" s="269">
        <f>F24*G24*(1-0)</f>
        <v>0</v>
      </c>
      <c r="J24" s="269">
        <f t="shared" si="0"/>
        <v>0</v>
      </c>
      <c r="K24" s="269">
        <v>0</v>
      </c>
      <c r="L24" s="269">
        <f t="shared" si="1"/>
        <v>0</v>
      </c>
    </row>
    <row r="25" spans="1:12" s="254" customFormat="1" ht="13.2">
      <c r="A25" s="268" t="s">
        <v>886</v>
      </c>
      <c r="B25" s="268" t="s">
        <v>1132</v>
      </c>
      <c r="C25" s="268" t="s">
        <v>1162</v>
      </c>
      <c r="D25" s="268" t="s">
        <v>1163</v>
      </c>
      <c r="E25" s="268" t="s">
        <v>25</v>
      </c>
      <c r="F25" s="269">
        <v>30</v>
      </c>
      <c r="G25" s="670"/>
      <c r="H25" s="269">
        <f>F25*G25*0</f>
        <v>0</v>
      </c>
      <c r="I25" s="269">
        <f>F25*G25*(1-0)</f>
        <v>0</v>
      </c>
      <c r="J25" s="269">
        <f t="shared" si="0"/>
        <v>0</v>
      </c>
      <c r="K25" s="269">
        <v>0</v>
      </c>
      <c r="L25" s="269">
        <f t="shared" si="1"/>
        <v>0</v>
      </c>
    </row>
    <row r="26" spans="1:12" s="254" customFormat="1" ht="13.2">
      <c r="A26" s="268" t="s">
        <v>938</v>
      </c>
      <c r="B26" s="268" t="s">
        <v>1132</v>
      </c>
      <c r="C26" s="268" t="s">
        <v>1164</v>
      </c>
      <c r="D26" s="268" t="s">
        <v>1165</v>
      </c>
      <c r="E26" s="268" t="s">
        <v>139</v>
      </c>
      <c r="F26" s="269">
        <v>236</v>
      </c>
      <c r="G26" s="670"/>
      <c r="H26" s="269">
        <f>F26*G26*0.662209711470795</f>
        <v>0</v>
      </c>
      <c r="I26" s="269">
        <f>F26*G26*(1-0.662209711470795)</f>
        <v>0</v>
      </c>
      <c r="J26" s="269">
        <f t="shared" si="0"/>
        <v>0</v>
      </c>
      <c r="K26" s="269">
        <v>0.00017</v>
      </c>
      <c r="L26" s="269">
        <f t="shared" si="1"/>
        <v>0.04012</v>
      </c>
    </row>
    <row r="27" spans="1:12" s="254" customFormat="1" ht="13.2">
      <c r="A27" s="268" t="s">
        <v>944</v>
      </c>
      <c r="B27" s="268" t="s">
        <v>1132</v>
      </c>
      <c r="C27" s="268" t="s">
        <v>1166</v>
      </c>
      <c r="D27" s="268" t="s">
        <v>1167</v>
      </c>
      <c r="E27" s="268" t="s">
        <v>139</v>
      </c>
      <c r="F27" s="269">
        <v>96</v>
      </c>
      <c r="G27" s="670"/>
      <c r="H27" s="269">
        <f>F27*G27*0.732013823437009</f>
        <v>0</v>
      </c>
      <c r="I27" s="269">
        <f>F27*G27*(1-0.732013823437009)</f>
        <v>0</v>
      </c>
      <c r="J27" s="269">
        <f t="shared" si="0"/>
        <v>0</v>
      </c>
      <c r="K27" s="269">
        <v>0.00023</v>
      </c>
      <c r="L27" s="269">
        <f t="shared" si="1"/>
        <v>0.022080000000000002</v>
      </c>
    </row>
    <row r="28" spans="1:12" s="254" customFormat="1" ht="13.2">
      <c r="A28" s="268" t="s">
        <v>948</v>
      </c>
      <c r="B28" s="268" t="s">
        <v>1132</v>
      </c>
      <c r="C28" s="268" t="s">
        <v>1168</v>
      </c>
      <c r="D28" s="268" t="s">
        <v>1169</v>
      </c>
      <c r="E28" s="268" t="s">
        <v>25</v>
      </c>
      <c r="F28" s="269">
        <v>114</v>
      </c>
      <c r="G28" s="670"/>
      <c r="H28" s="269">
        <f>F28*G28*0.213675213675214</f>
        <v>0</v>
      </c>
      <c r="I28" s="269">
        <f>F28*G28*(1-0.213675213675214)</f>
        <v>0</v>
      </c>
      <c r="J28" s="269">
        <f t="shared" si="0"/>
        <v>0</v>
      </c>
      <c r="K28" s="269">
        <v>0</v>
      </c>
      <c r="L28" s="269">
        <f t="shared" si="1"/>
        <v>0</v>
      </c>
    </row>
    <row r="29" spans="1:12" s="254" customFormat="1" ht="13.2">
      <c r="A29" s="268" t="s">
        <v>952</v>
      </c>
      <c r="B29" s="268" t="s">
        <v>1132</v>
      </c>
      <c r="C29" s="268" t="s">
        <v>1170</v>
      </c>
      <c r="D29" s="268" t="s">
        <v>1171</v>
      </c>
      <c r="E29" s="268" t="s">
        <v>25</v>
      </c>
      <c r="F29" s="269">
        <v>2</v>
      </c>
      <c r="G29" s="670"/>
      <c r="H29" s="269">
        <f>F29*G29*0.62223646267222</f>
        <v>0</v>
      </c>
      <c r="I29" s="269">
        <f>F29*G29*(1-0.62223646267222)</f>
        <v>0</v>
      </c>
      <c r="J29" s="269">
        <f t="shared" si="0"/>
        <v>0</v>
      </c>
      <c r="K29" s="269">
        <v>0</v>
      </c>
      <c r="L29" s="269">
        <f t="shared" si="1"/>
        <v>0</v>
      </c>
    </row>
    <row r="30" spans="1:12" s="254" customFormat="1" ht="13.2">
      <c r="A30" s="268" t="s">
        <v>956</v>
      </c>
      <c r="B30" s="268" t="s">
        <v>1132</v>
      </c>
      <c r="C30" s="268" t="s">
        <v>1172</v>
      </c>
      <c r="D30" s="268" t="s">
        <v>1173</v>
      </c>
      <c r="E30" s="268" t="s">
        <v>25</v>
      </c>
      <c r="F30" s="269">
        <v>6</v>
      </c>
      <c r="G30" s="670"/>
      <c r="H30" s="269">
        <f>F30*G30*0.581582332761578</f>
        <v>0</v>
      </c>
      <c r="I30" s="269">
        <f>F30*G30*(1-0.581582332761578)</f>
        <v>0</v>
      </c>
      <c r="J30" s="269">
        <f t="shared" si="0"/>
        <v>0</v>
      </c>
      <c r="K30" s="269">
        <v>0</v>
      </c>
      <c r="L30" s="269">
        <f t="shared" si="1"/>
        <v>0</v>
      </c>
    </row>
    <row r="31" spans="1:12" s="254" customFormat="1" ht="13.2">
      <c r="A31" s="268" t="s">
        <v>960</v>
      </c>
      <c r="B31" s="268" t="s">
        <v>1132</v>
      </c>
      <c r="C31" s="268" t="s">
        <v>1174</v>
      </c>
      <c r="D31" s="268" t="s">
        <v>1175</v>
      </c>
      <c r="E31" s="268" t="s">
        <v>25</v>
      </c>
      <c r="F31" s="269">
        <v>7</v>
      </c>
      <c r="G31" s="670"/>
      <c r="H31" s="269">
        <f>F31*G31*0.642234268206458</f>
        <v>0</v>
      </c>
      <c r="I31" s="269">
        <f>F31*G31*(1-0.642234268206458)</f>
        <v>0</v>
      </c>
      <c r="J31" s="269">
        <f t="shared" si="0"/>
        <v>0</v>
      </c>
      <c r="K31" s="269">
        <v>0</v>
      </c>
      <c r="L31" s="269">
        <f t="shared" si="1"/>
        <v>0</v>
      </c>
    </row>
    <row r="32" spans="1:12" s="254" customFormat="1" ht="13.2">
      <c r="A32" s="268" t="s">
        <v>964</v>
      </c>
      <c r="B32" s="268" t="s">
        <v>1132</v>
      </c>
      <c r="C32" s="268" t="s">
        <v>1176</v>
      </c>
      <c r="D32" s="268" t="s">
        <v>1177</v>
      </c>
      <c r="E32" s="268" t="s">
        <v>25</v>
      </c>
      <c r="F32" s="269">
        <v>12</v>
      </c>
      <c r="G32" s="670"/>
      <c r="H32" s="269">
        <f>F32*G32*0.388670384502495</f>
        <v>0</v>
      </c>
      <c r="I32" s="269">
        <f>F32*G32*(1-0.388670384502495)</f>
        <v>0</v>
      </c>
      <c r="J32" s="269">
        <f t="shared" si="0"/>
        <v>0</v>
      </c>
      <c r="K32" s="269">
        <v>0</v>
      </c>
      <c r="L32" s="269">
        <f t="shared" si="1"/>
        <v>0</v>
      </c>
    </row>
    <row r="33" spans="1:12" s="254" customFormat="1" ht="13.2">
      <c r="A33" s="268" t="s">
        <v>968</v>
      </c>
      <c r="B33" s="268" t="s">
        <v>1132</v>
      </c>
      <c r="C33" s="268" t="s">
        <v>1178</v>
      </c>
      <c r="D33" s="268" t="s">
        <v>1179</v>
      </c>
      <c r="E33" s="268" t="s">
        <v>25</v>
      </c>
      <c r="F33" s="269">
        <v>1</v>
      </c>
      <c r="G33" s="670"/>
      <c r="H33" s="269">
        <f>F33*G33*0.622351374258385</f>
        <v>0</v>
      </c>
      <c r="I33" s="269">
        <f>F33*G33*(1-0.622351374258385)</f>
        <v>0</v>
      </c>
      <c r="J33" s="269">
        <f t="shared" si="0"/>
        <v>0</v>
      </c>
      <c r="K33" s="269">
        <v>0</v>
      </c>
      <c r="L33" s="269">
        <f t="shared" si="1"/>
        <v>0</v>
      </c>
    </row>
    <row r="34" spans="1:12" s="254" customFormat="1" ht="13.2">
      <c r="A34" s="268" t="s">
        <v>972</v>
      </c>
      <c r="B34" s="268" t="s">
        <v>1132</v>
      </c>
      <c r="C34" s="268" t="s">
        <v>1180</v>
      </c>
      <c r="D34" s="268" t="s">
        <v>1181</v>
      </c>
      <c r="E34" s="268" t="s">
        <v>1182</v>
      </c>
      <c r="F34" s="269">
        <v>2</v>
      </c>
      <c r="G34" s="670"/>
      <c r="H34" s="269">
        <f>F34*G34*0.910268516925799</f>
        <v>0</v>
      </c>
      <c r="I34" s="269">
        <f>F34*G34*(1-0.910268516925799)</f>
        <v>0</v>
      </c>
      <c r="J34" s="269">
        <f t="shared" si="0"/>
        <v>0</v>
      </c>
      <c r="K34" s="269">
        <v>0</v>
      </c>
      <c r="L34" s="269">
        <f t="shared" si="1"/>
        <v>0</v>
      </c>
    </row>
    <row r="35" spans="1:12" s="254" customFormat="1" ht="13.2">
      <c r="A35" s="268" t="s">
        <v>976</v>
      </c>
      <c r="B35" s="268" t="s">
        <v>1132</v>
      </c>
      <c r="C35" s="268" t="s">
        <v>1183</v>
      </c>
      <c r="D35" s="268" t="s">
        <v>1184</v>
      </c>
      <c r="E35" s="268" t="s">
        <v>139</v>
      </c>
      <c r="F35" s="269">
        <v>22</v>
      </c>
      <c r="G35" s="670"/>
      <c r="H35" s="269">
        <f>F35*G35*0.259179265658747</f>
        <v>0</v>
      </c>
      <c r="I35" s="269">
        <f>F35*G35*(1-0.259179265658747)</f>
        <v>0</v>
      </c>
      <c r="J35" s="269">
        <f t="shared" si="0"/>
        <v>0</v>
      </c>
      <c r="K35" s="269">
        <v>0</v>
      </c>
      <c r="L35" s="269">
        <f t="shared" si="1"/>
        <v>0</v>
      </c>
    </row>
    <row r="36" spans="1:12" s="254" customFormat="1" ht="13.2">
      <c r="A36" s="268" t="s">
        <v>980</v>
      </c>
      <c r="B36" s="268" t="s">
        <v>1132</v>
      </c>
      <c r="C36" s="268" t="s">
        <v>1185</v>
      </c>
      <c r="D36" s="268" t="s">
        <v>1186</v>
      </c>
      <c r="E36" s="268" t="s">
        <v>25</v>
      </c>
      <c r="F36" s="269">
        <v>4</v>
      </c>
      <c r="G36" s="670"/>
      <c r="H36" s="269">
        <f>F36*G36*0.550189509720015</f>
        <v>0</v>
      </c>
      <c r="I36" s="269">
        <f>F36*G36*(1-0.550189509720015)</f>
        <v>0</v>
      </c>
      <c r="J36" s="269">
        <f t="shared" si="0"/>
        <v>0</v>
      </c>
      <c r="K36" s="269">
        <v>0</v>
      </c>
      <c r="L36" s="269">
        <f t="shared" si="1"/>
        <v>0</v>
      </c>
    </row>
    <row r="37" spans="1:12" s="254" customFormat="1" ht="13.2">
      <c r="A37" s="268" t="s">
        <v>984</v>
      </c>
      <c r="B37" s="268" t="s">
        <v>1132</v>
      </c>
      <c r="C37" s="268" t="s">
        <v>1129</v>
      </c>
      <c r="D37" s="268" t="s">
        <v>1130</v>
      </c>
      <c r="E37" s="268" t="s">
        <v>25</v>
      </c>
      <c r="F37" s="269">
        <v>3</v>
      </c>
      <c r="G37" s="670"/>
      <c r="H37" s="269">
        <f>F37*G37*0.244600431965443</f>
        <v>0</v>
      </c>
      <c r="I37" s="269">
        <f>F37*G37*(1-0.244600431965443)</f>
        <v>0</v>
      </c>
      <c r="J37" s="269">
        <f t="shared" si="0"/>
        <v>0</v>
      </c>
      <c r="K37" s="269">
        <v>0</v>
      </c>
      <c r="L37" s="269">
        <f t="shared" si="1"/>
        <v>0</v>
      </c>
    </row>
    <row r="38" spans="1:12" s="254" customFormat="1" ht="13.2">
      <c r="A38" s="268" t="s">
        <v>988</v>
      </c>
      <c r="B38" s="268" t="s">
        <v>1132</v>
      </c>
      <c r="C38" s="268" t="s">
        <v>1187</v>
      </c>
      <c r="D38" s="268" t="s">
        <v>1188</v>
      </c>
      <c r="E38" s="268" t="s">
        <v>25</v>
      </c>
      <c r="F38" s="269">
        <v>1</v>
      </c>
      <c r="G38" s="670"/>
      <c r="H38" s="269">
        <f>F38*G38*0.899167026971184</f>
        <v>0</v>
      </c>
      <c r="I38" s="269">
        <f>F38*G38*(1-0.899167026971184)</f>
        <v>0</v>
      </c>
      <c r="J38" s="269">
        <f t="shared" si="0"/>
        <v>0</v>
      </c>
      <c r="K38" s="269">
        <v>0</v>
      </c>
      <c r="L38" s="269">
        <f t="shared" si="1"/>
        <v>0</v>
      </c>
    </row>
    <row r="39" spans="1:12" s="254" customFormat="1" ht="13.2">
      <c r="A39" s="268" t="s">
        <v>992</v>
      </c>
      <c r="B39" s="268" t="s">
        <v>1132</v>
      </c>
      <c r="C39" s="268" t="s">
        <v>1189</v>
      </c>
      <c r="D39" s="268" t="s">
        <v>1190</v>
      </c>
      <c r="E39" s="268" t="s">
        <v>25</v>
      </c>
      <c r="F39" s="269">
        <v>1</v>
      </c>
      <c r="G39" s="670"/>
      <c r="H39" s="269">
        <f>F39*G39*0.9</f>
        <v>0</v>
      </c>
      <c r="I39" s="269">
        <f>F39*G39*(1-0.9)</f>
        <v>0</v>
      </c>
      <c r="J39" s="269">
        <f t="shared" si="0"/>
        <v>0</v>
      </c>
      <c r="K39" s="269">
        <v>0</v>
      </c>
      <c r="L39" s="269">
        <f t="shared" si="1"/>
        <v>0</v>
      </c>
    </row>
    <row r="40" spans="1:12" s="254" customFormat="1" ht="13.2">
      <c r="A40" s="265"/>
      <c r="B40" s="265"/>
      <c r="C40" s="429" t="s">
        <v>1191</v>
      </c>
      <c r="D40" s="713" t="s">
        <v>1192</v>
      </c>
      <c r="E40" s="714"/>
      <c r="F40" s="714"/>
      <c r="G40" s="714"/>
      <c r="H40" s="266">
        <f>SUM(H41:H41)</f>
        <v>0</v>
      </c>
      <c r="I40" s="266">
        <f>SUM(I41:I41)</f>
        <v>0</v>
      </c>
      <c r="J40" s="266">
        <f t="shared" si="0"/>
        <v>0</v>
      </c>
      <c r="K40" s="267"/>
      <c r="L40" s="266">
        <f>SUM(L41:L41)</f>
        <v>0</v>
      </c>
    </row>
    <row r="41" spans="1:12" s="254" customFormat="1" ht="13.2">
      <c r="A41" s="268" t="s">
        <v>996</v>
      </c>
      <c r="B41" s="268" t="s">
        <v>1132</v>
      </c>
      <c r="C41" s="268" t="s">
        <v>1195</v>
      </c>
      <c r="D41" s="268" t="s">
        <v>1196</v>
      </c>
      <c r="E41" s="268" t="s">
        <v>1182</v>
      </c>
      <c r="F41" s="269">
        <v>1</v>
      </c>
      <c r="G41" s="670"/>
      <c r="H41" s="269">
        <f>F41*G41*0.85995085995086</f>
        <v>0</v>
      </c>
      <c r="I41" s="269">
        <f>F41*G41*(1-0.85995085995086)</f>
        <v>0</v>
      </c>
      <c r="J41" s="269">
        <f t="shared" si="0"/>
        <v>0</v>
      </c>
      <c r="K41" s="269">
        <v>0</v>
      </c>
      <c r="L41" s="269">
        <f>F41*K41</f>
        <v>0</v>
      </c>
    </row>
    <row r="42" spans="1:12" s="254" customFormat="1" ht="13.2">
      <c r="A42" s="265"/>
      <c r="B42" s="265"/>
      <c r="C42" s="429" t="s">
        <v>1197</v>
      </c>
      <c r="D42" s="713" t="s">
        <v>1198</v>
      </c>
      <c r="E42" s="714"/>
      <c r="F42" s="714"/>
      <c r="G42" s="714"/>
      <c r="H42" s="266">
        <f>SUM(H43:H43)</f>
        <v>0</v>
      </c>
      <c r="I42" s="266">
        <f>SUM(I43:I43)</f>
        <v>0</v>
      </c>
      <c r="J42" s="266">
        <f t="shared" si="0"/>
        <v>0</v>
      </c>
      <c r="K42" s="267"/>
      <c r="L42" s="266">
        <f>SUM(L43:L43)</f>
        <v>0</v>
      </c>
    </row>
    <row r="43" spans="1:12" s="254" customFormat="1" ht="13.2">
      <c r="A43" s="268" t="s">
        <v>1000</v>
      </c>
      <c r="B43" s="268" t="s">
        <v>1132</v>
      </c>
      <c r="C43" s="268" t="s">
        <v>1199</v>
      </c>
      <c r="D43" s="268" t="s">
        <v>1200</v>
      </c>
      <c r="E43" s="268" t="s">
        <v>1182</v>
      </c>
      <c r="F43" s="269">
        <v>22</v>
      </c>
      <c r="G43" s="670"/>
      <c r="H43" s="269">
        <f>F43*G43*0.868421052631579</f>
        <v>0</v>
      </c>
      <c r="I43" s="269">
        <f>F43*G43*(1-0.868421052631579)</f>
        <v>0</v>
      </c>
      <c r="J43" s="269">
        <f t="shared" si="0"/>
        <v>0</v>
      </c>
      <c r="K43" s="269">
        <v>0</v>
      </c>
      <c r="L43" s="269">
        <f>F43*K43</f>
        <v>0</v>
      </c>
    </row>
    <row r="44" spans="1:12" s="254" customFormat="1" ht="13.2">
      <c r="A44" s="265"/>
      <c r="B44" s="265"/>
      <c r="C44" s="429" t="s">
        <v>1201</v>
      </c>
      <c r="D44" s="713" t="s">
        <v>1202</v>
      </c>
      <c r="E44" s="714"/>
      <c r="F44" s="714"/>
      <c r="G44" s="714"/>
      <c r="H44" s="266">
        <f>SUM(H45:H45)</f>
        <v>0</v>
      </c>
      <c r="I44" s="266">
        <f>SUM(I45:I45)</f>
        <v>0</v>
      </c>
      <c r="J44" s="266">
        <f t="shared" si="0"/>
        <v>0</v>
      </c>
      <c r="K44" s="267"/>
      <c r="L44" s="266">
        <f>SUM(L45:L45)</f>
        <v>0</v>
      </c>
    </row>
    <row r="45" spans="1:12" s="254" customFormat="1" ht="13.2">
      <c r="A45" s="268" t="s">
        <v>1004</v>
      </c>
      <c r="B45" s="268" t="s">
        <v>1132</v>
      </c>
      <c r="C45" s="268" t="s">
        <v>1203</v>
      </c>
      <c r="D45" s="268" t="s">
        <v>1204</v>
      </c>
      <c r="E45" s="268" t="s">
        <v>1182</v>
      </c>
      <c r="F45" s="269">
        <v>22</v>
      </c>
      <c r="G45" s="670"/>
      <c r="H45" s="269">
        <f>F45*G45*0.782608695652174</f>
        <v>0</v>
      </c>
      <c r="I45" s="269">
        <f>F45*G45*(1-0.782608695652174)</f>
        <v>0</v>
      </c>
      <c r="J45" s="269">
        <f t="shared" si="0"/>
        <v>0</v>
      </c>
      <c r="K45" s="269">
        <v>0</v>
      </c>
      <c r="L45" s="269">
        <f>F45*K45</f>
        <v>0</v>
      </c>
    </row>
    <row r="46" spans="1:12" s="254" customFormat="1" ht="13.2">
      <c r="A46" s="265"/>
      <c r="B46" s="265"/>
      <c r="C46" s="429"/>
      <c r="D46" s="713" t="s">
        <v>1205</v>
      </c>
      <c r="E46" s="714"/>
      <c r="F46" s="714"/>
      <c r="G46" s="714"/>
      <c r="H46" s="266">
        <f>H47</f>
        <v>0</v>
      </c>
      <c r="I46" s="266">
        <f>I47</f>
        <v>0</v>
      </c>
      <c r="J46" s="266">
        <f t="shared" si="0"/>
        <v>0</v>
      </c>
      <c r="K46" s="267"/>
      <c r="L46" s="266">
        <f>L47</f>
        <v>0</v>
      </c>
    </row>
    <row r="47" spans="1:12" s="254" customFormat="1" ht="13.2">
      <c r="A47" s="265"/>
      <c r="B47" s="265"/>
      <c r="C47" s="429" t="s">
        <v>1127</v>
      </c>
      <c r="D47" s="713" t="s">
        <v>1128</v>
      </c>
      <c r="E47" s="714"/>
      <c r="F47" s="714"/>
      <c r="G47" s="714"/>
      <c r="H47" s="266">
        <f>SUM(H48:H54)</f>
        <v>0</v>
      </c>
      <c r="I47" s="266">
        <f>SUM(I48:I54)</f>
        <v>0</v>
      </c>
      <c r="J47" s="266">
        <f t="shared" si="0"/>
        <v>0</v>
      </c>
      <c r="K47" s="267"/>
      <c r="L47" s="266">
        <f>SUM(L48:L54)</f>
        <v>0</v>
      </c>
    </row>
    <row r="48" spans="1:12" s="254" customFormat="1" ht="13.2">
      <c r="A48" s="268" t="s">
        <v>1008</v>
      </c>
      <c r="B48" s="268" t="s">
        <v>1206</v>
      </c>
      <c r="C48" s="268" t="s">
        <v>1152</v>
      </c>
      <c r="D48" s="268" t="s">
        <v>1153</v>
      </c>
      <c r="E48" s="268" t="s">
        <v>1143</v>
      </c>
      <c r="F48" s="269">
        <v>8</v>
      </c>
      <c r="G48" s="670"/>
      <c r="H48" s="269">
        <f>F48*G48*0</f>
        <v>0</v>
      </c>
      <c r="I48" s="269">
        <f>F48*G48*(1-0)</f>
        <v>0</v>
      </c>
      <c r="J48" s="269">
        <f t="shared" si="0"/>
        <v>0</v>
      </c>
      <c r="K48" s="269">
        <v>0</v>
      </c>
      <c r="L48" s="269">
        <f aca="true" t="shared" si="2" ref="L48:L54">F48*K48</f>
        <v>0</v>
      </c>
    </row>
    <row r="49" spans="1:12" s="254" customFormat="1" ht="13.2">
      <c r="A49" s="268" t="s">
        <v>1012</v>
      </c>
      <c r="B49" s="268" t="s">
        <v>1206</v>
      </c>
      <c r="C49" s="268" t="s">
        <v>1141</v>
      </c>
      <c r="D49" s="268" t="s">
        <v>1142</v>
      </c>
      <c r="E49" s="268" t="s">
        <v>1143</v>
      </c>
      <c r="F49" s="269">
        <v>2</v>
      </c>
      <c r="G49" s="670"/>
      <c r="H49" s="269">
        <f>F49*G49*0.519551107842824</f>
        <v>0</v>
      </c>
      <c r="I49" s="269">
        <f>F49*G49*(1-0.519551107842824)</f>
        <v>0</v>
      </c>
      <c r="J49" s="269">
        <f t="shared" si="0"/>
        <v>0</v>
      </c>
      <c r="K49" s="269">
        <v>0</v>
      </c>
      <c r="L49" s="269">
        <f t="shared" si="2"/>
        <v>0</v>
      </c>
    </row>
    <row r="50" spans="1:12" s="254" customFormat="1" ht="13.2">
      <c r="A50" s="268" t="s">
        <v>1018</v>
      </c>
      <c r="B50" s="268" t="s">
        <v>1206</v>
      </c>
      <c r="C50" s="268" t="s">
        <v>1209</v>
      </c>
      <c r="D50" s="268" t="s">
        <v>1210</v>
      </c>
      <c r="E50" s="268" t="s">
        <v>25</v>
      </c>
      <c r="F50" s="269">
        <v>2</v>
      </c>
      <c r="G50" s="670"/>
      <c r="H50" s="269">
        <f>F50*G50*0.240441640378549</f>
        <v>0</v>
      </c>
      <c r="I50" s="269">
        <f>F50*G50*(1-0.240441640378549)</f>
        <v>0</v>
      </c>
      <c r="J50" s="269">
        <f t="shared" si="0"/>
        <v>0</v>
      </c>
      <c r="K50" s="269">
        <v>0</v>
      </c>
      <c r="L50" s="269">
        <f t="shared" si="2"/>
        <v>0</v>
      </c>
    </row>
    <row r="51" spans="1:12" s="254" customFormat="1" ht="13.2">
      <c r="A51" s="268" t="s">
        <v>1022</v>
      </c>
      <c r="B51" s="268" t="s">
        <v>1206</v>
      </c>
      <c r="C51" s="268" t="s">
        <v>1129</v>
      </c>
      <c r="D51" s="268" t="s">
        <v>1130</v>
      </c>
      <c r="E51" s="268" t="s">
        <v>25</v>
      </c>
      <c r="F51" s="269">
        <v>2</v>
      </c>
      <c r="G51" s="670"/>
      <c r="H51" s="269">
        <f>F51*G51*0.244600431965443</f>
        <v>0</v>
      </c>
      <c r="I51" s="269">
        <f>F51*G51*(1-0.244600431965443)</f>
        <v>0</v>
      </c>
      <c r="J51" s="269">
        <f t="shared" si="0"/>
        <v>0</v>
      </c>
      <c r="K51" s="269">
        <v>0</v>
      </c>
      <c r="L51" s="269">
        <f t="shared" si="2"/>
        <v>0</v>
      </c>
    </row>
    <row r="52" spans="1:12" s="254" customFormat="1" ht="13.2">
      <c r="A52" s="268" t="s">
        <v>1026</v>
      </c>
      <c r="B52" s="268" t="s">
        <v>1206</v>
      </c>
      <c r="C52" s="268" t="s">
        <v>1135</v>
      </c>
      <c r="D52" s="268" t="s">
        <v>1136</v>
      </c>
      <c r="E52" s="268" t="s">
        <v>139</v>
      </c>
      <c r="F52" s="269">
        <f>18-2</f>
        <v>16</v>
      </c>
      <c r="G52" s="670"/>
      <c r="H52" s="269">
        <f>F52*G52*0.582901554404145</f>
        <v>0</v>
      </c>
      <c r="I52" s="269">
        <f>F52*G52*(1-0.582901554404145)</f>
        <v>0</v>
      </c>
      <c r="J52" s="269">
        <f t="shared" si="0"/>
        <v>0</v>
      </c>
      <c r="K52" s="269">
        <v>0</v>
      </c>
      <c r="L52" s="269">
        <f t="shared" si="2"/>
        <v>0</v>
      </c>
    </row>
    <row r="53" spans="1:12" s="254" customFormat="1" ht="13.2">
      <c r="A53" s="268" t="s">
        <v>1032</v>
      </c>
      <c r="B53" s="268" t="s">
        <v>1206</v>
      </c>
      <c r="C53" s="268" t="s">
        <v>1211</v>
      </c>
      <c r="D53" s="268" t="s">
        <v>1212</v>
      </c>
      <c r="E53" s="268" t="s">
        <v>139</v>
      </c>
      <c r="F53" s="269">
        <f>18-2</f>
        <v>16</v>
      </c>
      <c r="G53" s="670"/>
      <c r="H53" s="269">
        <f>F53*G53*0.402298850574713</f>
        <v>0</v>
      </c>
      <c r="I53" s="269">
        <f>F53*G53*(1-0.402298850574713)</f>
        <v>0</v>
      </c>
      <c r="J53" s="269">
        <f t="shared" si="0"/>
        <v>0</v>
      </c>
      <c r="K53" s="269">
        <v>0</v>
      </c>
      <c r="L53" s="269">
        <f t="shared" si="2"/>
        <v>0</v>
      </c>
    </row>
    <row r="54" spans="1:12" s="254" customFormat="1" ht="13.2">
      <c r="A54" s="270" t="s">
        <v>1037</v>
      </c>
      <c r="B54" s="270" t="s">
        <v>1206</v>
      </c>
      <c r="C54" s="270" t="s">
        <v>1213</v>
      </c>
      <c r="D54" s="270" t="s">
        <v>1214</v>
      </c>
      <c r="E54" s="270" t="s">
        <v>25</v>
      </c>
      <c r="F54" s="271">
        <v>2</v>
      </c>
      <c r="G54" s="671"/>
      <c r="H54" s="271">
        <f>F54*G54*0.579650845608292</f>
        <v>0</v>
      </c>
      <c r="I54" s="271">
        <f>F54*G54*(1-0.579650845608292)</f>
        <v>0</v>
      </c>
      <c r="J54" s="271">
        <f t="shared" si="0"/>
        <v>0</v>
      </c>
      <c r="K54" s="271">
        <v>0</v>
      </c>
      <c r="L54" s="271">
        <f t="shared" si="2"/>
        <v>0</v>
      </c>
    </row>
    <row r="55" spans="1:12" s="254" customFormat="1" ht="13.2">
      <c r="A55" s="272"/>
      <c r="B55" s="272"/>
      <c r="C55" s="272"/>
      <c r="D55" s="272"/>
      <c r="E55" s="272"/>
      <c r="F55" s="272"/>
      <c r="G55" s="272"/>
      <c r="H55" s="715" t="s">
        <v>1241</v>
      </c>
      <c r="I55" s="716"/>
      <c r="J55" s="273">
        <f>J9+J40+J42+J44+J47</f>
        <v>0</v>
      </c>
      <c r="K55" s="272"/>
      <c r="L55" s="272"/>
    </row>
  </sheetData>
  <sheetProtection sheet="1" objects="1" scenarios="1"/>
  <mergeCells count="10">
    <mergeCell ref="H6:J6"/>
    <mergeCell ref="K6:L6"/>
    <mergeCell ref="D8:G8"/>
    <mergeCell ref="D9:G9"/>
    <mergeCell ref="H55:I55"/>
    <mergeCell ref="D42:G42"/>
    <mergeCell ref="D47:G47"/>
    <mergeCell ref="D40:G40"/>
    <mergeCell ref="D44:G44"/>
    <mergeCell ref="D46:G46"/>
  </mergeCells>
  <printOptions/>
  <pageMargins left="0.7875" right="0.7875" top="0.984027777777778" bottom="0.984027777777778" header="0.511805555555555" footer="0.511805555555555"/>
  <pageSetup fitToHeight="99" fitToWidth="1"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5"/>
  <sheetViews>
    <sheetView workbookViewId="0" topLeftCell="A1">
      <selection activeCell="I27" sqref="I27"/>
    </sheetView>
  </sheetViews>
  <sheetFormatPr defaultColWidth="11.421875" defaultRowHeight="15"/>
  <cols>
    <col min="1" max="2" width="3.7109375" style="175" customWidth="1"/>
    <col min="3" max="3" width="13.28125" style="175" customWidth="1"/>
    <col min="4" max="4" width="71.421875" style="175" customWidth="1"/>
    <col min="5" max="5" width="4.28125" style="175" customWidth="1"/>
    <col min="6" max="6" width="10.8515625" style="175" customWidth="1"/>
    <col min="7" max="7" width="12.00390625" style="175" customWidth="1"/>
    <col min="8" max="9" width="13.140625" style="175" customWidth="1"/>
    <col min="10" max="10" width="13.28125" style="175" customWidth="1"/>
    <col min="11" max="12" width="11.7109375" style="175" customWidth="1"/>
    <col min="13" max="256" width="11.421875" style="175" customWidth="1"/>
    <col min="257" max="258" width="3.7109375" style="175" customWidth="1"/>
    <col min="259" max="259" width="13.28125" style="175" customWidth="1"/>
    <col min="260" max="260" width="34.140625" style="175" customWidth="1"/>
    <col min="261" max="261" width="4.28125" style="175" customWidth="1"/>
    <col min="262" max="262" width="10.8515625" style="175" customWidth="1"/>
    <col min="263" max="263" width="12.00390625" style="175" customWidth="1"/>
    <col min="264" max="265" width="13.140625" style="175" customWidth="1"/>
    <col min="266" max="266" width="13.28125" style="175" customWidth="1"/>
    <col min="267" max="268" width="11.7109375" style="175" customWidth="1"/>
    <col min="269" max="512" width="11.421875" style="175" customWidth="1"/>
    <col min="513" max="514" width="3.7109375" style="175" customWidth="1"/>
    <col min="515" max="515" width="13.28125" style="175" customWidth="1"/>
    <col min="516" max="516" width="34.140625" style="175" customWidth="1"/>
    <col min="517" max="517" width="4.28125" style="175" customWidth="1"/>
    <col min="518" max="518" width="10.8515625" style="175" customWidth="1"/>
    <col min="519" max="519" width="12.00390625" style="175" customWidth="1"/>
    <col min="520" max="521" width="13.140625" style="175" customWidth="1"/>
    <col min="522" max="522" width="13.28125" style="175" customWidth="1"/>
    <col min="523" max="524" width="11.7109375" style="175" customWidth="1"/>
    <col min="525" max="768" width="11.421875" style="175" customWidth="1"/>
    <col min="769" max="770" width="3.7109375" style="175" customWidth="1"/>
    <col min="771" max="771" width="13.28125" style="175" customWidth="1"/>
    <col min="772" max="772" width="34.140625" style="175" customWidth="1"/>
    <col min="773" max="773" width="4.28125" style="175" customWidth="1"/>
    <col min="774" max="774" width="10.8515625" style="175" customWidth="1"/>
    <col min="775" max="775" width="12.00390625" style="175" customWidth="1"/>
    <col min="776" max="777" width="13.140625" style="175" customWidth="1"/>
    <col min="778" max="778" width="13.28125" style="175" customWidth="1"/>
    <col min="779" max="780" width="11.7109375" style="175" customWidth="1"/>
    <col min="781" max="1024" width="11.421875" style="175" customWidth="1"/>
    <col min="1025" max="16384" width="11.421875" style="83" customWidth="1"/>
  </cols>
  <sheetData>
    <row r="1" spans="1:1024" ht="21">
      <c r="A1" s="74" t="s">
        <v>1453</v>
      </c>
      <c r="B1" s="75"/>
      <c r="C1" s="75"/>
      <c r="D1" s="75"/>
      <c r="E1" s="75"/>
      <c r="F1" s="75"/>
      <c r="G1" s="85"/>
      <c r="H1" s="75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  <c r="IW1" s="83"/>
      <c r="IX1" s="83"/>
      <c r="IY1" s="83"/>
      <c r="IZ1" s="83"/>
      <c r="JA1" s="83"/>
      <c r="JB1" s="83"/>
      <c r="JC1" s="83"/>
      <c r="JD1" s="83"/>
      <c r="JE1" s="83"/>
      <c r="JF1" s="83"/>
      <c r="JG1" s="83"/>
      <c r="JH1" s="83"/>
      <c r="JI1" s="83"/>
      <c r="JJ1" s="83"/>
      <c r="JK1" s="83"/>
      <c r="JL1" s="83"/>
      <c r="JM1" s="83"/>
      <c r="JN1" s="83"/>
      <c r="JO1" s="83"/>
      <c r="JP1" s="83"/>
      <c r="JQ1" s="83"/>
      <c r="JR1" s="83"/>
      <c r="JS1" s="83"/>
      <c r="JT1" s="83"/>
      <c r="JU1" s="83"/>
      <c r="JV1" s="83"/>
      <c r="JW1" s="83"/>
      <c r="JX1" s="83"/>
      <c r="JY1" s="83"/>
      <c r="JZ1" s="83"/>
      <c r="KA1" s="83"/>
      <c r="KB1" s="83"/>
      <c r="KC1" s="83"/>
      <c r="KD1" s="83"/>
      <c r="KE1" s="83"/>
      <c r="KF1" s="83"/>
      <c r="KG1" s="83"/>
      <c r="KH1" s="83"/>
      <c r="KI1" s="83"/>
      <c r="KJ1" s="83"/>
      <c r="KK1" s="83"/>
      <c r="KL1" s="83"/>
      <c r="KM1" s="83"/>
      <c r="KN1" s="83"/>
      <c r="KO1" s="83"/>
      <c r="KP1" s="83"/>
      <c r="KQ1" s="83"/>
      <c r="KR1" s="83"/>
      <c r="KS1" s="83"/>
      <c r="KT1" s="83"/>
      <c r="KU1" s="83"/>
      <c r="KV1" s="83"/>
      <c r="KW1" s="83"/>
      <c r="KX1" s="83"/>
      <c r="KY1" s="83"/>
      <c r="KZ1" s="83"/>
      <c r="LA1" s="83"/>
      <c r="LB1" s="83"/>
      <c r="LC1" s="83"/>
      <c r="LD1" s="83"/>
      <c r="LE1" s="83"/>
      <c r="LF1" s="83"/>
      <c r="LG1" s="83"/>
      <c r="LH1" s="83"/>
      <c r="LI1" s="83"/>
      <c r="LJ1" s="83"/>
      <c r="LK1" s="83"/>
      <c r="LL1" s="83"/>
      <c r="LM1" s="83"/>
      <c r="LN1" s="83"/>
      <c r="LO1" s="83"/>
      <c r="LP1" s="83"/>
      <c r="LQ1" s="83"/>
      <c r="LR1" s="83"/>
      <c r="LS1" s="83"/>
      <c r="LT1" s="83"/>
      <c r="LU1" s="83"/>
      <c r="LV1" s="83"/>
      <c r="LW1" s="83"/>
      <c r="LX1" s="83"/>
      <c r="LY1" s="83"/>
      <c r="LZ1" s="83"/>
      <c r="MA1" s="83"/>
      <c r="MB1" s="83"/>
      <c r="MC1" s="83"/>
      <c r="MD1" s="83"/>
      <c r="ME1" s="83"/>
      <c r="MF1" s="83"/>
      <c r="MG1" s="83"/>
      <c r="MH1" s="83"/>
      <c r="MI1" s="83"/>
      <c r="MJ1" s="83"/>
      <c r="MK1" s="83"/>
      <c r="ML1" s="83"/>
      <c r="MM1" s="83"/>
      <c r="MN1" s="83"/>
      <c r="MO1" s="83"/>
      <c r="MP1" s="83"/>
      <c r="MQ1" s="83"/>
      <c r="MR1" s="83"/>
      <c r="MS1" s="83"/>
      <c r="MT1" s="83"/>
      <c r="MU1" s="83"/>
      <c r="MV1" s="83"/>
      <c r="MW1" s="83"/>
      <c r="MX1" s="83"/>
      <c r="MY1" s="83"/>
      <c r="MZ1" s="83"/>
      <c r="NA1" s="83"/>
      <c r="NB1" s="83"/>
      <c r="NC1" s="83"/>
      <c r="ND1" s="83"/>
      <c r="NE1" s="83"/>
      <c r="NF1" s="83"/>
      <c r="NG1" s="83"/>
      <c r="NH1" s="83"/>
      <c r="NI1" s="83"/>
      <c r="NJ1" s="83"/>
      <c r="NK1" s="83"/>
      <c r="NL1" s="83"/>
      <c r="NM1" s="83"/>
      <c r="NN1" s="83"/>
      <c r="NO1" s="83"/>
      <c r="NP1" s="83"/>
      <c r="NQ1" s="83"/>
      <c r="NR1" s="83"/>
      <c r="NS1" s="83"/>
      <c r="NT1" s="83"/>
      <c r="NU1" s="83"/>
      <c r="NV1" s="83"/>
      <c r="NW1" s="83"/>
      <c r="NX1" s="83"/>
      <c r="NY1" s="83"/>
      <c r="NZ1" s="83"/>
      <c r="OA1" s="83"/>
      <c r="OB1" s="83"/>
      <c r="OC1" s="83"/>
      <c r="OD1" s="83"/>
      <c r="OE1" s="83"/>
      <c r="OF1" s="83"/>
      <c r="OG1" s="83"/>
      <c r="OH1" s="83"/>
      <c r="OI1" s="83"/>
      <c r="OJ1" s="83"/>
      <c r="OK1" s="83"/>
      <c r="OL1" s="83"/>
      <c r="OM1" s="83"/>
      <c r="ON1" s="83"/>
      <c r="OO1" s="83"/>
      <c r="OP1" s="83"/>
      <c r="OQ1" s="83"/>
      <c r="OR1" s="83"/>
      <c r="OS1" s="83"/>
      <c r="OT1" s="83"/>
      <c r="OU1" s="83"/>
      <c r="OV1" s="83"/>
      <c r="OW1" s="83"/>
      <c r="OX1" s="83"/>
      <c r="OY1" s="83"/>
      <c r="OZ1" s="83"/>
      <c r="PA1" s="83"/>
      <c r="PB1" s="83"/>
      <c r="PC1" s="83"/>
      <c r="PD1" s="83"/>
      <c r="PE1" s="83"/>
      <c r="PF1" s="83"/>
      <c r="PG1" s="83"/>
      <c r="PH1" s="83"/>
      <c r="PI1" s="83"/>
      <c r="PJ1" s="83"/>
      <c r="PK1" s="83"/>
      <c r="PL1" s="83"/>
      <c r="PM1" s="83"/>
      <c r="PN1" s="83"/>
      <c r="PO1" s="83"/>
      <c r="PP1" s="83"/>
      <c r="PQ1" s="83"/>
      <c r="PR1" s="83"/>
      <c r="PS1" s="83"/>
      <c r="PT1" s="83"/>
      <c r="PU1" s="83"/>
      <c r="PV1" s="83"/>
      <c r="PW1" s="83"/>
      <c r="PX1" s="83"/>
      <c r="PY1" s="83"/>
      <c r="PZ1" s="83"/>
      <c r="QA1" s="83"/>
      <c r="QB1" s="83"/>
      <c r="QC1" s="83"/>
      <c r="QD1" s="83"/>
      <c r="QE1" s="83"/>
      <c r="QF1" s="83"/>
      <c r="QG1" s="83"/>
      <c r="QH1" s="83"/>
      <c r="QI1" s="83"/>
      <c r="QJ1" s="83"/>
      <c r="QK1" s="83"/>
      <c r="QL1" s="83"/>
      <c r="QM1" s="83"/>
      <c r="QN1" s="83"/>
      <c r="QO1" s="83"/>
      <c r="QP1" s="83"/>
      <c r="QQ1" s="83"/>
      <c r="QR1" s="83"/>
      <c r="QS1" s="83"/>
      <c r="QT1" s="83"/>
      <c r="QU1" s="83"/>
      <c r="QV1" s="83"/>
      <c r="QW1" s="83"/>
      <c r="QX1" s="83"/>
      <c r="QY1" s="83"/>
      <c r="QZ1" s="83"/>
      <c r="RA1" s="83"/>
      <c r="RB1" s="83"/>
      <c r="RC1" s="83"/>
      <c r="RD1" s="83"/>
      <c r="RE1" s="83"/>
      <c r="RF1" s="83"/>
      <c r="RG1" s="83"/>
      <c r="RH1" s="83"/>
      <c r="RI1" s="83"/>
      <c r="RJ1" s="83"/>
      <c r="RK1" s="83"/>
      <c r="RL1" s="83"/>
      <c r="RM1" s="83"/>
      <c r="RN1" s="83"/>
      <c r="RO1" s="83"/>
      <c r="RP1" s="83"/>
      <c r="RQ1" s="83"/>
      <c r="RR1" s="83"/>
      <c r="RS1" s="83"/>
      <c r="RT1" s="83"/>
      <c r="RU1" s="83"/>
      <c r="RV1" s="83"/>
      <c r="RW1" s="83"/>
      <c r="RX1" s="83"/>
      <c r="RY1" s="83"/>
      <c r="RZ1" s="83"/>
      <c r="SA1" s="83"/>
      <c r="SB1" s="83"/>
      <c r="SC1" s="83"/>
      <c r="SD1" s="83"/>
      <c r="SE1" s="83"/>
      <c r="SF1" s="83"/>
      <c r="SG1" s="83"/>
      <c r="SH1" s="83"/>
      <c r="SI1" s="83"/>
      <c r="SJ1" s="83"/>
      <c r="SK1" s="83"/>
      <c r="SL1" s="83"/>
      <c r="SM1" s="83"/>
      <c r="SN1" s="83"/>
      <c r="SO1" s="83"/>
      <c r="SP1" s="83"/>
      <c r="SQ1" s="83"/>
      <c r="SR1" s="83"/>
      <c r="SS1" s="83"/>
      <c r="ST1" s="83"/>
      <c r="SU1" s="83"/>
      <c r="SV1" s="83"/>
      <c r="SW1" s="83"/>
      <c r="SX1" s="83"/>
      <c r="SY1" s="83"/>
      <c r="SZ1" s="83"/>
      <c r="TA1" s="83"/>
      <c r="TB1" s="83"/>
      <c r="TC1" s="83"/>
      <c r="TD1" s="83"/>
      <c r="TE1" s="83"/>
      <c r="TF1" s="83"/>
      <c r="TG1" s="83"/>
      <c r="TH1" s="83"/>
      <c r="TI1" s="83"/>
      <c r="TJ1" s="83"/>
      <c r="TK1" s="83"/>
      <c r="TL1" s="83"/>
      <c r="TM1" s="83"/>
      <c r="TN1" s="83"/>
      <c r="TO1" s="83"/>
      <c r="TP1" s="83"/>
      <c r="TQ1" s="83"/>
      <c r="TR1" s="83"/>
      <c r="TS1" s="83"/>
      <c r="TT1" s="83"/>
      <c r="TU1" s="83"/>
      <c r="TV1" s="83"/>
      <c r="TW1" s="83"/>
      <c r="TX1" s="83"/>
      <c r="TY1" s="83"/>
      <c r="TZ1" s="83"/>
      <c r="UA1" s="83"/>
      <c r="UB1" s="83"/>
      <c r="UC1" s="83"/>
      <c r="UD1" s="83"/>
      <c r="UE1" s="83"/>
      <c r="UF1" s="83"/>
      <c r="UG1" s="83"/>
      <c r="UH1" s="83"/>
      <c r="UI1" s="83"/>
      <c r="UJ1" s="83"/>
      <c r="UK1" s="83"/>
      <c r="UL1" s="83"/>
      <c r="UM1" s="83"/>
      <c r="UN1" s="83"/>
      <c r="UO1" s="83"/>
      <c r="UP1" s="83"/>
      <c r="UQ1" s="83"/>
      <c r="UR1" s="83"/>
      <c r="US1" s="83"/>
      <c r="UT1" s="83"/>
      <c r="UU1" s="83"/>
      <c r="UV1" s="83"/>
      <c r="UW1" s="83"/>
      <c r="UX1" s="83"/>
      <c r="UY1" s="83"/>
      <c r="UZ1" s="83"/>
      <c r="VA1" s="83"/>
      <c r="VB1" s="83"/>
      <c r="VC1" s="83"/>
      <c r="VD1" s="83"/>
      <c r="VE1" s="83"/>
      <c r="VF1" s="83"/>
      <c r="VG1" s="83"/>
      <c r="VH1" s="83"/>
      <c r="VI1" s="83"/>
      <c r="VJ1" s="83"/>
      <c r="VK1" s="83"/>
      <c r="VL1" s="83"/>
      <c r="VM1" s="83"/>
      <c r="VN1" s="83"/>
      <c r="VO1" s="83"/>
      <c r="VP1" s="83"/>
      <c r="VQ1" s="83"/>
      <c r="VR1" s="83"/>
      <c r="VS1" s="83"/>
      <c r="VT1" s="83"/>
      <c r="VU1" s="83"/>
      <c r="VV1" s="83"/>
      <c r="VW1" s="83"/>
      <c r="VX1" s="83"/>
      <c r="VY1" s="83"/>
      <c r="VZ1" s="83"/>
      <c r="WA1" s="83"/>
      <c r="WB1" s="83"/>
      <c r="WC1" s="83"/>
      <c r="WD1" s="83"/>
      <c r="WE1" s="83"/>
      <c r="WF1" s="83"/>
      <c r="WG1" s="83"/>
      <c r="WH1" s="83"/>
      <c r="WI1" s="83"/>
      <c r="WJ1" s="83"/>
      <c r="WK1" s="83"/>
      <c r="WL1" s="83"/>
      <c r="WM1" s="83"/>
      <c r="WN1" s="83"/>
      <c r="WO1" s="83"/>
      <c r="WP1" s="83"/>
      <c r="WQ1" s="83"/>
      <c r="WR1" s="83"/>
      <c r="WS1" s="83"/>
      <c r="WT1" s="83"/>
      <c r="WU1" s="83"/>
      <c r="WV1" s="83"/>
      <c r="WW1" s="83"/>
      <c r="WX1" s="83"/>
      <c r="WY1" s="83"/>
      <c r="WZ1" s="83"/>
      <c r="XA1" s="83"/>
      <c r="XB1" s="83"/>
      <c r="XC1" s="83"/>
      <c r="XD1" s="83"/>
      <c r="XE1" s="83"/>
      <c r="XF1" s="83"/>
      <c r="XG1" s="83"/>
      <c r="XH1" s="83"/>
      <c r="XI1" s="83"/>
      <c r="XJ1" s="83"/>
      <c r="XK1" s="83"/>
      <c r="XL1" s="83"/>
      <c r="XM1" s="83"/>
      <c r="XN1" s="83"/>
      <c r="XO1" s="83"/>
      <c r="XP1" s="83"/>
      <c r="XQ1" s="83"/>
      <c r="XR1" s="83"/>
      <c r="XS1" s="83"/>
      <c r="XT1" s="83"/>
      <c r="XU1" s="83"/>
      <c r="XV1" s="83"/>
      <c r="XW1" s="83"/>
      <c r="XX1" s="83"/>
      <c r="XY1" s="83"/>
      <c r="XZ1" s="83"/>
      <c r="YA1" s="83"/>
      <c r="YB1" s="83"/>
      <c r="YC1" s="83"/>
      <c r="YD1" s="83"/>
      <c r="YE1" s="83"/>
      <c r="YF1" s="83"/>
      <c r="YG1" s="83"/>
      <c r="YH1" s="83"/>
      <c r="YI1" s="83"/>
      <c r="YJ1" s="83"/>
      <c r="YK1" s="83"/>
      <c r="YL1" s="83"/>
      <c r="YM1" s="83"/>
      <c r="YN1" s="83"/>
      <c r="YO1" s="83"/>
      <c r="YP1" s="83"/>
      <c r="YQ1" s="83"/>
      <c r="YR1" s="83"/>
      <c r="YS1" s="83"/>
      <c r="YT1" s="83"/>
      <c r="YU1" s="83"/>
      <c r="YV1" s="83"/>
      <c r="YW1" s="83"/>
      <c r="YX1" s="83"/>
      <c r="YY1" s="83"/>
      <c r="YZ1" s="83"/>
      <c r="ZA1" s="83"/>
      <c r="ZB1" s="83"/>
      <c r="ZC1" s="83"/>
      <c r="ZD1" s="83"/>
      <c r="ZE1" s="83"/>
      <c r="ZF1" s="83"/>
      <c r="ZG1" s="83"/>
      <c r="ZH1" s="83"/>
      <c r="ZI1" s="83"/>
      <c r="ZJ1" s="83"/>
      <c r="ZK1" s="83"/>
      <c r="ZL1" s="83"/>
      <c r="ZM1" s="83"/>
      <c r="ZN1" s="83"/>
      <c r="ZO1" s="83"/>
      <c r="ZP1" s="83"/>
      <c r="ZQ1" s="83"/>
      <c r="ZR1" s="83"/>
      <c r="ZS1" s="83"/>
      <c r="ZT1" s="83"/>
      <c r="ZU1" s="83"/>
      <c r="ZV1" s="83"/>
      <c r="ZW1" s="83"/>
      <c r="ZX1" s="83"/>
      <c r="ZY1" s="83"/>
      <c r="ZZ1" s="83"/>
      <c r="AAA1" s="83"/>
      <c r="AAB1" s="83"/>
      <c r="AAC1" s="83"/>
      <c r="AAD1" s="83"/>
      <c r="AAE1" s="83"/>
      <c r="AAF1" s="83"/>
      <c r="AAG1" s="83"/>
      <c r="AAH1" s="83"/>
      <c r="AAI1" s="83"/>
      <c r="AAJ1" s="83"/>
      <c r="AAK1" s="83"/>
      <c r="AAL1" s="83"/>
      <c r="AAM1" s="83"/>
      <c r="AAN1" s="83"/>
      <c r="AAO1" s="83"/>
      <c r="AAP1" s="83"/>
      <c r="AAQ1" s="83"/>
      <c r="AAR1" s="83"/>
      <c r="AAS1" s="83"/>
      <c r="AAT1" s="83"/>
      <c r="AAU1" s="83"/>
      <c r="AAV1" s="83"/>
      <c r="AAW1" s="83"/>
      <c r="AAX1" s="83"/>
      <c r="AAY1" s="83"/>
      <c r="AAZ1" s="83"/>
      <c r="ABA1" s="83"/>
      <c r="ABB1" s="83"/>
      <c r="ABC1" s="83"/>
      <c r="ABD1" s="83"/>
      <c r="ABE1" s="83"/>
      <c r="ABF1" s="83"/>
      <c r="ABG1" s="83"/>
      <c r="ABH1" s="83"/>
      <c r="ABI1" s="83"/>
      <c r="ABJ1" s="83"/>
      <c r="ABK1" s="83"/>
      <c r="ABL1" s="83"/>
      <c r="ABM1" s="83"/>
      <c r="ABN1" s="83"/>
      <c r="ABO1" s="83"/>
      <c r="ABP1" s="83"/>
      <c r="ABQ1" s="83"/>
      <c r="ABR1" s="83"/>
      <c r="ABS1" s="83"/>
      <c r="ABT1" s="83"/>
      <c r="ABU1" s="83"/>
      <c r="ABV1" s="83"/>
      <c r="ABW1" s="83"/>
      <c r="ABX1" s="83"/>
      <c r="ABY1" s="83"/>
      <c r="ABZ1" s="83"/>
      <c r="ACA1" s="83"/>
      <c r="ACB1" s="83"/>
      <c r="ACC1" s="83"/>
      <c r="ACD1" s="83"/>
      <c r="ACE1" s="83"/>
      <c r="ACF1" s="83"/>
      <c r="ACG1" s="83"/>
      <c r="ACH1" s="83"/>
      <c r="ACI1" s="83"/>
      <c r="ACJ1" s="83"/>
      <c r="ACK1" s="83"/>
      <c r="ACL1" s="83"/>
      <c r="ACM1" s="83"/>
      <c r="ACN1" s="83"/>
      <c r="ACO1" s="83"/>
      <c r="ACP1" s="83"/>
      <c r="ACQ1" s="83"/>
      <c r="ACR1" s="83"/>
      <c r="ACS1" s="83"/>
      <c r="ACT1" s="83"/>
      <c r="ACU1" s="83"/>
      <c r="ACV1" s="83"/>
      <c r="ACW1" s="83"/>
      <c r="ACX1" s="83"/>
      <c r="ACY1" s="83"/>
      <c r="ACZ1" s="83"/>
      <c r="ADA1" s="83"/>
      <c r="ADB1" s="83"/>
      <c r="ADC1" s="83"/>
      <c r="ADD1" s="83"/>
      <c r="ADE1" s="83"/>
      <c r="ADF1" s="83"/>
      <c r="ADG1" s="83"/>
      <c r="ADH1" s="83"/>
      <c r="ADI1" s="83"/>
      <c r="ADJ1" s="83"/>
      <c r="ADK1" s="83"/>
      <c r="ADL1" s="83"/>
      <c r="ADM1" s="83"/>
      <c r="ADN1" s="83"/>
      <c r="ADO1" s="83"/>
      <c r="ADP1" s="83"/>
      <c r="ADQ1" s="83"/>
      <c r="ADR1" s="83"/>
      <c r="ADS1" s="83"/>
      <c r="ADT1" s="83"/>
      <c r="ADU1" s="83"/>
      <c r="ADV1" s="83"/>
      <c r="ADW1" s="83"/>
      <c r="ADX1" s="83"/>
      <c r="ADY1" s="83"/>
      <c r="ADZ1" s="83"/>
      <c r="AEA1" s="83"/>
      <c r="AEB1" s="83"/>
      <c r="AEC1" s="83"/>
      <c r="AED1" s="83"/>
      <c r="AEE1" s="83"/>
      <c r="AEF1" s="83"/>
      <c r="AEG1" s="83"/>
      <c r="AEH1" s="83"/>
      <c r="AEI1" s="83"/>
      <c r="AEJ1" s="83"/>
      <c r="AEK1" s="83"/>
      <c r="AEL1" s="83"/>
      <c r="AEM1" s="83"/>
      <c r="AEN1" s="83"/>
      <c r="AEO1" s="83"/>
      <c r="AEP1" s="83"/>
      <c r="AEQ1" s="83"/>
      <c r="AER1" s="83"/>
      <c r="AES1" s="83"/>
      <c r="AET1" s="83"/>
      <c r="AEU1" s="83"/>
      <c r="AEV1" s="83"/>
      <c r="AEW1" s="83"/>
      <c r="AEX1" s="83"/>
      <c r="AEY1" s="83"/>
      <c r="AEZ1" s="83"/>
      <c r="AFA1" s="83"/>
      <c r="AFB1" s="83"/>
      <c r="AFC1" s="83"/>
      <c r="AFD1" s="83"/>
      <c r="AFE1" s="83"/>
      <c r="AFF1" s="83"/>
      <c r="AFG1" s="83"/>
      <c r="AFH1" s="83"/>
      <c r="AFI1" s="83"/>
      <c r="AFJ1" s="83"/>
      <c r="AFK1" s="83"/>
      <c r="AFL1" s="83"/>
      <c r="AFM1" s="83"/>
      <c r="AFN1" s="83"/>
      <c r="AFO1" s="83"/>
      <c r="AFP1" s="83"/>
      <c r="AFQ1" s="83"/>
      <c r="AFR1" s="83"/>
      <c r="AFS1" s="83"/>
      <c r="AFT1" s="83"/>
      <c r="AFU1" s="83"/>
      <c r="AFV1" s="83"/>
      <c r="AFW1" s="83"/>
      <c r="AFX1" s="83"/>
      <c r="AFY1" s="83"/>
      <c r="AFZ1" s="83"/>
      <c r="AGA1" s="83"/>
      <c r="AGB1" s="83"/>
      <c r="AGC1" s="83"/>
      <c r="AGD1" s="83"/>
      <c r="AGE1" s="83"/>
      <c r="AGF1" s="83"/>
      <c r="AGG1" s="83"/>
      <c r="AGH1" s="83"/>
      <c r="AGI1" s="83"/>
      <c r="AGJ1" s="83"/>
      <c r="AGK1" s="83"/>
      <c r="AGL1" s="83"/>
      <c r="AGM1" s="83"/>
      <c r="AGN1" s="83"/>
      <c r="AGO1" s="83"/>
      <c r="AGP1" s="83"/>
      <c r="AGQ1" s="83"/>
      <c r="AGR1" s="83"/>
      <c r="AGS1" s="83"/>
      <c r="AGT1" s="83"/>
      <c r="AGU1" s="83"/>
      <c r="AGV1" s="83"/>
      <c r="AGW1" s="83"/>
      <c r="AGX1" s="83"/>
      <c r="AGY1" s="83"/>
      <c r="AGZ1" s="83"/>
      <c r="AHA1" s="83"/>
      <c r="AHB1" s="83"/>
      <c r="AHC1" s="83"/>
      <c r="AHD1" s="83"/>
      <c r="AHE1" s="83"/>
      <c r="AHF1" s="83"/>
      <c r="AHG1" s="83"/>
      <c r="AHH1" s="83"/>
      <c r="AHI1" s="83"/>
      <c r="AHJ1" s="83"/>
      <c r="AHK1" s="83"/>
      <c r="AHL1" s="83"/>
      <c r="AHM1" s="83"/>
      <c r="AHN1" s="83"/>
      <c r="AHO1" s="83"/>
      <c r="AHP1" s="83"/>
      <c r="AHQ1" s="83"/>
      <c r="AHR1" s="83"/>
      <c r="AHS1" s="83"/>
      <c r="AHT1" s="83"/>
      <c r="AHU1" s="83"/>
      <c r="AHV1" s="83"/>
      <c r="AHW1" s="83"/>
      <c r="AHX1" s="83"/>
      <c r="AHY1" s="83"/>
      <c r="AHZ1" s="83"/>
      <c r="AIA1" s="83"/>
      <c r="AIB1" s="83"/>
      <c r="AIC1" s="83"/>
      <c r="AID1" s="83"/>
      <c r="AIE1" s="83"/>
      <c r="AIF1" s="83"/>
      <c r="AIG1" s="83"/>
      <c r="AIH1" s="83"/>
      <c r="AII1" s="83"/>
      <c r="AIJ1" s="83"/>
      <c r="AIK1" s="83"/>
      <c r="AIL1" s="83"/>
      <c r="AIM1" s="83"/>
      <c r="AIN1" s="83"/>
      <c r="AIO1" s="83"/>
      <c r="AIP1" s="83"/>
      <c r="AIQ1" s="83"/>
      <c r="AIR1" s="83"/>
      <c r="AIS1" s="83"/>
      <c r="AIT1" s="83"/>
      <c r="AIU1" s="83"/>
      <c r="AIV1" s="83"/>
      <c r="AIW1" s="83"/>
      <c r="AIX1" s="83"/>
      <c r="AIY1" s="83"/>
      <c r="AIZ1" s="83"/>
      <c r="AJA1" s="83"/>
      <c r="AJB1" s="83"/>
      <c r="AJC1" s="83"/>
      <c r="AJD1" s="83"/>
      <c r="AJE1" s="83"/>
      <c r="AJF1" s="83"/>
      <c r="AJG1" s="83"/>
      <c r="AJH1" s="83"/>
      <c r="AJI1" s="83"/>
      <c r="AJJ1" s="83"/>
      <c r="AJK1" s="83"/>
      <c r="AJL1" s="83"/>
      <c r="AJM1" s="83"/>
      <c r="AJN1" s="83"/>
      <c r="AJO1" s="83"/>
      <c r="AJP1" s="83"/>
      <c r="AJQ1" s="83"/>
      <c r="AJR1" s="83"/>
      <c r="AJS1" s="83"/>
      <c r="AJT1" s="83"/>
      <c r="AJU1" s="83"/>
      <c r="AJV1" s="83"/>
      <c r="AJW1" s="83"/>
      <c r="AJX1" s="83"/>
      <c r="AJY1" s="83"/>
      <c r="AJZ1" s="83"/>
      <c r="AKA1" s="83"/>
      <c r="AKB1" s="83"/>
      <c r="AKC1" s="83"/>
      <c r="AKD1" s="83"/>
      <c r="AKE1" s="83"/>
      <c r="AKF1" s="83"/>
      <c r="AKG1" s="83"/>
      <c r="AKH1" s="83"/>
      <c r="AKI1" s="83"/>
      <c r="AKJ1" s="83"/>
      <c r="AKK1" s="83"/>
      <c r="AKL1" s="83"/>
      <c r="AKM1" s="83"/>
      <c r="AKN1" s="83"/>
      <c r="AKO1" s="83"/>
      <c r="AKP1" s="83"/>
      <c r="AKQ1" s="83"/>
      <c r="AKR1" s="83"/>
      <c r="AKS1" s="83"/>
      <c r="AKT1" s="83"/>
      <c r="AKU1" s="83"/>
      <c r="AKV1" s="83"/>
      <c r="AKW1" s="83"/>
      <c r="AKX1" s="83"/>
      <c r="AKY1" s="83"/>
      <c r="AKZ1" s="83"/>
      <c r="ALA1" s="83"/>
      <c r="ALB1" s="83"/>
      <c r="ALC1" s="83"/>
      <c r="ALD1" s="83"/>
      <c r="ALE1" s="83"/>
      <c r="ALF1" s="83"/>
      <c r="ALG1" s="83"/>
      <c r="ALH1" s="83"/>
      <c r="ALI1" s="83"/>
      <c r="ALJ1" s="83"/>
      <c r="ALK1" s="83"/>
      <c r="ALL1" s="83"/>
      <c r="ALM1" s="83"/>
      <c r="ALN1" s="83"/>
      <c r="ALO1" s="83"/>
      <c r="ALP1" s="83"/>
      <c r="ALQ1" s="83"/>
      <c r="ALR1" s="83"/>
      <c r="ALS1" s="83"/>
      <c r="ALT1" s="83"/>
      <c r="ALU1" s="83"/>
      <c r="ALV1" s="83"/>
      <c r="ALW1" s="83"/>
      <c r="ALX1" s="83"/>
      <c r="ALY1" s="83"/>
      <c r="ALZ1" s="83"/>
      <c r="AMA1" s="83"/>
      <c r="AMB1" s="83"/>
      <c r="AMC1" s="83"/>
      <c r="AMD1" s="83"/>
      <c r="AME1" s="83"/>
      <c r="AMF1" s="83"/>
      <c r="AMG1" s="83"/>
      <c r="AMH1" s="83"/>
      <c r="AMI1" s="83"/>
      <c r="AMJ1" s="83"/>
    </row>
    <row r="2" spans="1:8" ht="15">
      <c r="A2" s="76" t="s">
        <v>28</v>
      </c>
      <c r="B2" s="76"/>
      <c r="C2" s="432"/>
      <c r="D2" s="432"/>
      <c r="E2" s="432"/>
      <c r="F2" s="432"/>
      <c r="G2" s="431"/>
      <c r="H2" s="430"/>
    </row>
    <row r="3" spans="1:8" ht="15">
      <c r="A3" s="76" t="s">
        <v>24</v>
      </c>
      <c r="B3" s="78"/>
      <c r="C3" s="433"/>
      <c r="D3" s="83"/>
      <c r="E3" s="83"/>
      <c r="F3" s="83"/>
      <c r="G3" s="84"/>
      <c r="H3" s="83"/>
    </row>
    <row r="4" spans="1:8" ht="15">
      <c r="A4" s="76" t="s">
        <v>1115</v>
      </c>
      <c r="B4" s="78"/>
      <c r="C4" s="433"/>
      <c r="D4" s="83"/>
      <c r="E4" s="83"/>
      <c r="F4" s="83"/>
      <c r="G4" s="84"/>
      <c r="H4" s="83"/>
    </row>
    <row r="5" ht="15" thickBot="1"/>
    <row r="6" spans="1:13" s="254" customFormat="1" ht="13.2">
      <c r="A6" s="496" t="s">
        <v>1116</v>
      </c>
      <c r="B6" s="497" t="s">
        <v>1116</v>
      </c>
      <c r="C6" s="497" t="s">
        <v>1116</v>
      </c>
      <c r="D6" s="497" t="s">
        <v>1116</v>
      </c>
      <c r="E6" s="497" t="s">
        <v>1116</v>
      </c>
      <c r="F6" s="497" t="s">
        <v>1116</v>
      </c>
      <c r="G6" s="498" t="s">
        <v>1117</v>
      </c>
      <c r="H6" s="719" t="s">
        <v>1118</v>
      </c>
      <c r="I6" s="720"/>
      <c r="J6" s="721"/>
      <c r="K6" s="719" t="s">
        <v>1119</v>
      </c>
      <c r="L6" s="721"/>
      <c r="M6" s="499"/>
    </row>
    <row r="7" spans="1:13" s="254" customFormat="1" ht="13.8" thickBot="1">
      <c r="A7" s="500" t="s">
        <v>1120</v>
      </c>
      <c r="B7" s="501" t="s">
        <v>1121</v>
      </c>
      <c r="C7" s="501" t="s">
        <v>864</v>
      </c>
      <c r="D7" s="501" t="s">
        <v>1122</v>
      </c>
      <c r="E7" s="501" t="s">
        <v>1123</v>
      </c>
      <c r="F7" s="502" t="s">
        <v>865</v>
      </c>
      <c r="G7" s="503" t="s">
        <v>1124</v>
      </c>
      <c r="H7" s="504" t="s">
        <v>1125</v>
      </c>
      <c r="I7" s="505" t="s">
        <v>1126</v>
      </c>
      <c r="J7" s="506" t="s">
        <v>26</v>
      </c>
      <c r="K7" s="504" t="s">
        <v>1117</v>
      </c>
      <c r="L7" s="506" t="s">
        <v>26</v>
      </c>
      <c r="M7" s="499"/>
    </row>
    <row r="8" spans="1:12" s="254" customFormat="1" ht="13.2">
      <c r="A8" s="507"/>
      <c r="B8" s="507"/>
      <c r="C8" s="508"/>
      <c r="D8" s="722" t="s">
        <v>1131</v>
      </c>
      <c r="E8" s="723"/>
      <c r="F8" s="723"/>
      <c r="G8" s="723"/>
      <c r="H8" s="509">
        <f>H9</f>
        <v>0</v>
      </c>
      <c r="I8" s="509">
        <f>I9</f>
        <v>0</v>
      </c>
      <c r="J8" s="509">
        <f aca="true" t="shared" si="0" ref="J8:J14">H8+I8</f>
        <v>0</v>
      </c>
      <c r="K8" s="510"/>
      <c r="L8" s="509">
        <f>L9</f>
        <v>0</v>
      </c>
    </row>
    <row r="9" spans="1:12" s="254" customFormat="1" ht="13.2">
      <c r="A9" s="511"/>
      <c r="B9" s="511"/>
      <c r="C9" s="512" t="s">
        <v>1127</v>
      </c>
      <c r="D9" s="724" t="s">
        <v>1128</v>
      </c>
      <c r="E9" s="725"/>
      <c r="F9" s="725"/>
      <c r="G9" s="725"/>
      <c r="H9" s="513">
        <f>SUM(H10:H10)</f>
        <v>0</v>
      </c>
      <c r="I9" s="513">
        <f>SUM(I10:I10)</f>
        <v>0</v>
      </c>
      <c r="J9" s="513">
        <f t="shared" si="0"/>
        <v>0</v>
      </c>
      <c r="K9" s="514"/>
      <c r="L9" s="513">
        <f>SUM(L10:L10)</f>
        <v>0</v>
      </c>
    </row>
    <row r="10" spans="1:12" s="254" customFormat="1" ht="13.2">
      <c r="A10" s="657" t="s">
        <v>906</v>
      </c>
      <c r="B10" s="657" t="s">
        <v>1132</v>
      </c>
      <c r="C10" s="657" t="s">
        <v>1146</v>
      </c>
      <c r="D10" s="657" t="s">
        <v>1147</v>
      </c>
      <c r="E10" s="657" t="s">
        <v>25</v>
      </c>
      <c r="F10" s="658">
        <v>1</v>
      </c>
      <c r="G10" s="695"/>
      <c r="H10" s="658">
        <f>F10*G10*0.828767824089146</f>
        <v>0</v>
      </c>
      <c r="I10" s="658">
        <f>F10*G10*(1-0.828767824089146)</f>
        <v>0</v>
      </c>
      <c r="J10" s="658">
        <f t="shared" si="0"/>
        <v>0</v>
      </c>
      <c r="K10" s="658">
        <v>0</v>
      </c>
      <c r="L10" s="658">
        <f aca="true" t="shared" si="1" ref="L10">F10*K10</f>
        <v>0</v>
      </c>
    </row>
    <row r="11" spans="1:12" s="254" customFormat="1" ht="13.2">
      <c r="A11" s="511"/>
      <c r="B11" s="511"/>
      <c r="C11" s="512"/>
      <c r="D11" s="724" t="s">
        <v>1205</v>
      </c>
      <c r="E11" s="725"/>
      <c r="F11" s="725"/>
      <c r="G11" s="725"/>
      <c r="H11" s="513">
        <f>H12</f>
        <v>0</v>
      </c>
      <c r="I11" s="513">
        <f>I12</f>
        <v>0</v>
      </c>
      <c r="J11" s="513">
        <f t="shared" si="0"/>
        <v>0</v>
      </c>
      <c r="K11" s="514"/>
      <c r="L11" s="513">
        <f>L12</f>
        <v>0</v>
      </c>
    </row>
    <row r="12" spans="1:12" s="254" customFormat="1" ht="13.2">
      <c r="A12" s="511"/>
      <c r="B12" s="511"/>
      <c r="C12" s="512" t="s">
        <v>1127</v>
      </c>
      <c r="D12" s="724" t="s">
        <v>1128</v>
      </c>
      <c r="E12" s="725"/>
      <c r="F12" s="725"/>
      <c r="G12" s="725"/>
      <c r="H12" s="513">
        <f>SUM(H13:H14)</f>
        <v>0</v>
      </c>
      <c r="I12" s="513">
        <f>SUM(I13:I14)</f>
        <v>0</v>
      </c>
      <c r="J12" s="513">
        <f t="shared" si="0"/>
        <v>0</v>
      </c>
      <c r="K12" s="514"/>
      <c r="L12" s="513">
        <f>SUM(L13:L14)</f>
        <v>0</v>
      </c>
    </row>
    <row r="13" spans="1:12" s="254" customFormat="1" ht="13.2">
      <c r="A13" s="657" t="s">
        <v>1026</v>
      </c>
      <c r="B13" s="657" t="s">
        <v>1206</v>
      </c>
      <c r="C13" s="657" t="s">
        <v>1135</v>
      </c>
      <c r="D13" s="657" t="s">
        <v>1136</v>
      </c>
      <c r="E13" s="657" t="s">
        <v>139</v>
      </c>
      <c r="F13" s="658">
        <v>2</v>
      </c>
      <c r="G13" s="695"/>
      <c r="H13" s="658">
        <f>F13*G13*0.582901554404145</f>
        <v>0</v>
      </c>
      <c r="I13" s="658">
        <f>F13*G13*(1-0.582901554404145)</f>
        <v>0</v>
      </c>
      <c r="J13" s="658">
        <f t="shared" si="0"/>
        <v>0</v>
      </c>
      <c r="K13" s="658">
        <v>0</v>
      </c>
      <c r="L13" s="658">
        <f aca="true" t="shared" si="2" ref="L13:L14">F13*K13</f>
        <v>0</v>
      </c>
    </row>
    <row r="14" spans="1:12" s="254" customFormat="1" ht="13.2">
      <c r="A14" s="657" t="s">
        <v>1032</v>
      </c>
      <c r="B14" s="657" t="s">
        <v>1206</v>
      </c>
      <c r="C14" s="657" t="s">
        <v>1211</v>
      </c>
      <c r="D14" s="657" t="s">
        <v>1212</v>
      </c>
      <c r="E14" s="657" t="s">
        <v>139</v>
      </c>
      <c r="F14" s="658">
        <v>2</v>
      </c>
      <c r="G14" s="695"/>
      <c r="H14" s="658">
        <f>F14*G14*0.402298850574713</f>
        <v>0</v>
      </c>
      <c r="I14" s="658">
        <f>F14*G14*(1-0.402298850574713)</f>
        <v>0</v>
      </c>
      <c r="J14" s="658">
        <f t="shared" si="0"/>
        <v>0</v>
      </c>
      <c r="K14" s="658">
        <v>0</v>
      </c>
      <c r="L14" s="658">
        <f t="shared" si="2"/>
        <v>0</v>
      </c>
    </row>
    <row r="15" spans="1:12" s="254" customFormat="1" ht="13.2">
      <c r="A15" s="515"/>
      <c r="B15" s="515"/>
      <c r="C15" s="515"/>
      <c r="D15" s="515"/>
      <c r="E15" s="515"/>
      <c r="F15" s="515"/>
      <c r="G15" s="515"/>
      <c r="H15" s="717" t="s">
        <v>1241</v>
      </c>
      <c r="I15" s="718"/>
      <c r="J15" s="516">
        <f>J9+J12</f>
        <v>0</v>
      </c>
      <c r="K15" s="515"/>
      <c r="L15" s="515"/>
    </row>
  </sheetData>
  <sheetProtection sheet="1" objects="1" scenarios="1"/>
  <mergeCells count="7">
    <mergeCell ref="H15:I15"/>
    <mergeCell ref="H6:J6"/>
    <mergeCell ref="K6:L6"/>
    <mergeCell ref="D8:G8"/>
    <mergeCell ref="D9:G9"/>
    <mergeCell ref="D11:G11"/>
    <mergeCell ref="D12:G12"/>
  </mergeCells>
  <printOptions/>
  <pageMargins left="0.7875" right="0.7875" top="0.984027777777778" bottom="0.984027777777778" header="0.511805555555555" footer="0.511805555555555"/>
  <pageSetup fitToHeight="99" fitToWidth="1"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7"/>
  <sheetViews>
    <sheetView workbookViewId="0" topLeftCell="A1">
      <selection activeCell="K86" sqref="K86"/>
    </sheetView>
  </sheetViews>
  <sheetFormatPr defaultColWidth="10.00390625" defaultRowHeight="15"/>
  <cols>
    <col min="1" max="2" width="3.7109375" style="177" customWidth="1"/>
    <col min="3" max="3" width="55.7109375" style="177" customWidth="1"/>
    <col min="4" max="4" width="3.7109375" style="177" customWidth="1"/>
    <col min="5" max="5" width="6.7109375" style="177" customWidth="1"/>
    <col min="6" max="6" width="8.7109375" style="178" customWidth="1"/>
    <col min="7" max="7" width="11.57421875" style="178" customWidth="1"/>
    <col min="8" max="256" width="10.00390625" style="177" customWidth="1"/>
    <col min="257" max="258" width="3.7109375" style="177" customWidth="1"/>
    <col min="259" max="259" width="55.7109375" style="177" customWidth="1"/>
    <col min="260" max="260" width="3.7109375" style="177" customWidth="1"/>
    <col min="261" max="261" width="6.7109375" style="177" customWidth="1"/>
    <col min="262" max="262" width="8.7109375" style="177" customWidth="1"/>
    <col min="263" max="263" width="11.57421875" style="177" customWidth="1"/>
    <col min="264" max="512" width="10.00390625" style="177" customWidth="1"/>
    <col min="513" max="514" width="3.7109375" style="177" customWidth="1"/>
    <col min="515" max="515" width="55.7109375" style="177" customWidth="1"/>
    <col min="516" max="516" width="3.7109375" style="177" customWidth="1"/>
    <col min="517" max="517" width="6.7109375" style="177" customWidth="1"/>
    <col min="518" max="518" width="8.7109375" style="177" customWidth="1"/>
    <col min="519" max="519" width="11.57421875" style="177" customWidth="1"/>
    <col min="520" max="768" width="10.00390625" style="177" customWidth="1"/>
    <col min="769" max="770" width="3.7109375" style="177" customWidth="1"/>
    <col min="771" max="771" width="55.7109375" style="177" customWidth="1"/>
    <col min="772" max="772" width="3.7109375" style="177" customWidth="1"/>
    <col min="773" max="773" width="6.7109375" style="177" customWidth="1"/>
    <col min="774" max="774" width="8.7109375" style="177" customWidth="1"/>
    <col min="775" max="775" width="11.57421875" style="177" customWidth="1"/>
    <col min="776" max="1024" width="10.00390625" style="177" customWidth="1"/>
  </cols>
  <sheetData>
    <row r="1" spans="1:7" ht="15">
      <c r="A1" s="274"/>
      <c r="B1" s="275"/>
      <c r="C1" s="275" t="s">
        <v>1263</v>
      </c>
      <c r="D1" s="275"/>
      <c r="E1" s="276"/>
      <c r="F1" s="277"/>
      <c r="G1" s="278"/>
    </row>
    <row r="2" spans="1:7" ht="15">
      <c r="A2" s="279"/>
      <c r="B2" s="279"/>
      <c r="C2" s="279"/>
      <c r="D2" s="279"/>
      <c r="E2" s="280"/>
      <c r="F2" s="281"/>
      <c r="G2" s="281"/>
    </row>
    <row r="3" spans="1:10" ht="15">
      <c r="A3" s="282" t="s">
        <v>862</v>
      </c>
      <c r="B3" s="283" t="s">
        <v>863</v>
      </c>
      <c r="C3" s="282" t="s">
        <v>33</v>
      </c>
      <c r="D3" s="283" t="s">
        <v>34</v>
      </c>
      <c r="E3" s="282" t="s">
        <v>865</v>
      </c>
      <c r="F3" s="284" t="s">
        <v>1264</v>
      </c>
      <c r="G3" s="284" t="s">
        <v>15</v>
      </c>
      <c r="H3" s="180"/>
      <c r="I3" s="179"/>
      <c r="J3" s="179"/>
    </row>
    <row r="4" spans="1:10" ht="15">
      <c r="A4" s="285"/>
      <c r="B4" s="286"/>
      <c r="C4" s="287" t="s">
        <v>1265</v>
      </c>
      <c r="D4" s="288"/>
      <c r="E4" s="289"/>
      <c r="F4" s="290"/>
      <c r="G4" s="291"/>
      <c r="H4" s="178"/>
      <c r="I4" s="179"/>
      <c r="J4" s="179"/>
    </row>
    <row r="5" spans="1:10" ht="15">
      <c r="A5" s="280"/>
      <c r="B5" s="292"/>
      <c r="C5" s="280"/>
      <c r="D5" s="280"/>
      <c r="E5" s="280"/>
      <c r="F5" s="281"/>
      <c r="G5" s="281"/>
      <c r="H5" s="178"/>
      <c r="I5" s="179"/>
      <c r="J5" s="179"/>
    </row>
    <row r="6" spans="1:10" ht="40.8">
      <c r="A6" s="293" t="s">
        <v>1266</v>
      </c>
      <c r="B6" s="294" t="s">
        <v>853</v>
      </c>
      <c r="C6" s="295" t="s">
        <v>1267</v>
      </c>
      <c r="D6" s="296" t="s">
        <v>1182</v>
      </c>
      <c r="E6" s="297">
        <v>3</v>
      </c>
      <c r="F6" s="685"/>
      <c r="G6" s="298">
        <f aca="true" t="shared" si="0" ref="G6:G25">(E6*F6)</f>
        <v>0</v>
      </c>
      <c r="H6" s="178"/>
      <c r="I6" s="179"/>
      <c r="J6" s="179"/>
    </row>
    <row r="7" spans="1:10" ht="40.8">
      <c r="A7" s="293" t="s">
        <v>1269</v>
      </c>
      <c r="B7" s="294" t="s">
        <v>853</v>
      </c>
      <c r="C7" s="295" t="s">
        <v>1270</v>
      </c>
      <c r="D7" s="296" t="s">
        <v>1182</v>
      </c>
      <c r="E7" s="297">
        <v>4</v>
      </c>
      <c r="F7" s="685"/>
      <c r="G7" s="298">
        <f t="shared" si="0"/>
        <v>0</v>
      </c>
      <c r="H7" s="178"/>
      <c r="I7" s="179"/>
      <c r="J7" s="179"/>
    </row>
    <row r="8" spans="1:10" ht="30.6">
      <c r="A8" s="293" t="s">
        <v>1271</v>
      </c>
      <c r="B8" s="294" t="s">
        <v>853</v>
      </c>
      <c r="C8" s="295" t="s">
        <v>1272</v>
      </c>
      <c r="D8" s="296" t="s">
        <v>1182</v>
      </c>
      <c r="E8" s="297">
        <v>1</v>
      </c>
      <c r="F8" s="685"/>
      <c r="G8" s="298">
        <f t="shared" si="0"/>
        <v>0</v>
      </c>
      <c r="H8" s="178"/>
      <c r="J8" s="179"/>
    </row>
    <row r="9" spans="1:10" ht="30.6">
      <c r="A9" s="293" t="s">
        <v>1273</v>
      </c>
      <c r="B9" s="294" t="s">
        <v>853</v>
      </c>
      <c r="C9" s="295" t="s">
        <v>1274</v>
      </c>
      <c r="D9" s="296" t="s">
        <v>1182</v>
      </c>
      <c r="E9" s="297">
        <v>3</v>
      </c>
      <c r="F9" s="685"/>
      <c r="G9" s="298">
        <f t="shared" si="0"/>
        <v>0</v>
      </c>
      <c r="H9" s="178"/>
      <c r="J9" s="179"/>
    </row>
    <row r="10" spans="1:10" ht="30.6">
      <c r="A10" s="293" t="s">
        <v>1276</v>
      </c>
      <c r="B10" s="294" t="s">
        <v>853</v>
      </c>
      <c r="C10" s="295" t="s">
        <v>1277</v>
      </c>
      <c r="D10" s="296" t="s">
        <v>1182</v>
      </c>
      <c r="E10" s="297">
        <v>2</v>
      </c>
      <c r="F10" s="685"/>
      <c r="G10" s="298">
        <f t="shared" si="0"/>
        <v>0</v>
      </c>
      <c r="H10" s="178"/>
      <c r="J10" s="179"/>
    </row>
    <row r="11" spans="1:10" ht="30.6">
      <c r="A11" s="293" t="s">
        <v>1278</v>
      </c>
      <c r="B11" s="294" t="s">
        <v>853</v>
      </c>
      <c r="C11" s="295" t="s">
        <v>1279</v>
      </c>
      <c r="D11" s="297" t="s">
        <v>1182</v>
      </c>
      <c r="E11" s="297">
        <v>7</v>
      </c>
      <c r="F11" s="685"/>
      <c r="G11" s="298">
        <f t="shared" si="0"/>
        <v>0</v>
      </c>
      <c r="J11" s="179"/>
    </row>
    <row r="12" spans="1:10" ht="20.4">
      <c r="A12" s="293" t="s">
        <v>1280</v>
      </c>
      <c r="B12" s="294" t="s">
        <v>853</v>
      </c>
      <c r="C12" s="295" t="s">
        <v>1281</v>
      </c>
      <c r="D12" s="297" t="s">
        <v>1182</v>
      </c>
      <c r="E12" s="297">
        <f>383-43</f>
        <v>340</v>
      </c>
      <c r="F12" s="685"/>
      <c r="G12" s="298">
        <f t="shared" si="0"/>
        <v>0</v>
      </c>
      <c r="J12" s="179"/>
    </row>
    <row r="13" spans="1:10" ht="12.9" customHeight="1">
      <c r="A13" s="299" t="s">
        <v>1282</v>
      </c>
      <c r="B13" s="292" t="s">
        <v>853</v>
      </c>
      <c r="C13" s="300" t="s">
        <v>1283</v>
      </c>
      <c r="D13" s="301" t="s">
        <v>1182</v>
      </c>
      <c r="E13" s="301">
        <v>7</v>
      </c>
      <c r="F13" s="693"/>
      <c r="G13" s="302">
        <f t="shared" si="0"/>
        <v>0</v>
      </c>
      <c r="J13" s="179"/>
    </row>
    <row r="14" spans="1:10" ht="20.4">
      <c r="A14" s="293" t="s">
        <v>1284</v>
      </c>
      <c r="B14" s="294" t="s">
        <v>853</v>
      </c>
      <c r="C14" s="295" t="s">
        <v>1285</v>
      </c>
      <c r="D14" s="297" t="s">
        <v>1182</v>
      </c>
      <c r="E14" s="293">
        <v>10</v>
      </c>
      <c r="F14" s="685"/>
      <c r="G14" s="298">
        <f t="shared" si="0"/>
        <v>0</v>
      </c>
      <c r="J14" s="179"/>
    </row>
    <row r="15" spans="1:10" ht="20.4">
      <c r="A15" s="293" t="s">
        <v>1286</v>
      </c>
      <c r="B15" s="294" t="s">
        <v>853</v>
      </c>
      <c r="C15" s="295" t="s">
        <v>1287</v>
      </c>
      <c r="D15" s="296" t="s">
        <v>1182</v>
      </c>
      <c r="E15" s="293">
        <v>8</v>
      </c>
      <c r="F15" s="685"/>
      <c r="G15" s="298">
        <f t="shared" si="0"/>
        <v>0</v>
      </c>
      <c r="J15" s="179"/>
    </row>
    <row r="16" spans="1:10" ht="20.4">
      <c r="A16" s="293" t="s">
        <v>1288</v>
      </c>
      <c r="B16" s="294" t="s">
        <v>853</v>
      </c>
      <c r="C16" s="295" t="s">
        <v>1289</v>
      </c>
      <c r="D16" s="297" t="s">
        <v>1182</v>
      </c>
      <c r="E16" s="293">
        <f>36-6</f>
        <v>30</v>
      </c>
      <c r="F16" s="685"/>
      <c r="G16" s="298">
        <f t="shared" si="0"/>
        <v>0</v>
      </c>
      <c r="J16" s="179"/>
    </row>
    <row r="17" spans="1:10" ht="15">
      <c r="A17" s="299" t="s">
        <v>1290</v>
      </c>
      <c r="B17" s="292" t="s">
        <v>853</v>
      </c>
      <c r="C17" s="300" t="s">
        <v>1291</v>
      </c>
      <c r="D17" s="301" t="s">
        <v>139</v>
      </c>
      <c r="E17" s="301">
        <f>115-27</f>
        <v>88</v>
      </c>
      <c r="F17" s="693"/>
      <c r="G17" s="302">
        <f t="shared" si="0"/>
        <v>0</v>
      </c>
      <c r="J17" s="179"/>
    </row>
    <row r="18" spans="1:10" ht="15">
      <c r="A18" s="299" t="s">
        <v>1292</v>
      </c>
      <c r="B18" s="292" t="s">
        <v>853</v>
      </c>
      <c r="C18" s="303" t="s">
        <v>1293</v>
      </c>
      <c r="D18" s="301" t="s">
        <v>139</v>
      </c>
      <c r="E18" s="301">
        <f>70-12</f>
        <v>58</v>
      </c>
      <c r="F18" s="693"/>
      <c r="G18" s="302">
        <f t="shared" si="0"/>
        <v>0</v>
      </c>
      <c r="J18" s="179"/>
    </row>
    <row r="19" spans="1:10" ht="15">
      <c r="A19" s="299" t="s">
        <v>1294</v>
      </c>
      <c r="B19" s="292" t="s">
        <v>853</v>
      </c>
      <c r="C19" s="303" t="s">
        <v>1295</v>
      </c>
      <c r="D19" s="301" t="s">
        <v>1182</v>
      </c>
      <c r="E19" s="299">
        <v>7</v>
      </c>
      <c r="F19" s="693"/>
      <c r="G19" s="302">
        <f t="shared" si="0"/>
        <v>0</v>
      </c>
      <c r="J19" s="179"/>
    </row>
    <row r="20" spans="1:10" ht="15">
      <c r="A20" s="299" t="s">
        <v>1296</v>
      </c>
      <c r="B20" s="292" t="s">
        <v>853</v>
      </c>
      <c r="C20" s="303" t="s">
        <v>1297</v>
      </c>
      <c r="D20" s="304" t="s">
        <v>1182</v>
      </c>
      <c r="E20" s="299">
        <v>7</v>
      </c>
      <c r="F20" s="693"/>
      <c r="G20" s="302">
        <f t="shared" si="0"/>
        <v>0</v>
      </c>
      <c r="J20" s="179"/>
    </row>
    <row r="21" spans="1:10" ht="20.4">
      <c r="A21" s="293" t="s">
        <v>1298</v>
      </c>
      <c r="B21" s="294" t="s">
        <v>853</v>
      </c>
      <c r="C21" s="305" t="s">
        <v>1299</v>
      </c>
      <c r="D21" s="297" t="s">
        <v>1182</v>
      </c>
      <c r="E21" s="293">
        <v>5</v>
      </c>
      <c r="F21" s="685"/>
      <c r="G21" s="298">
        <f t="shared" si="0"/>
        <v>0</v>
      </c>
      <c r="J21" s="179"/>
    </row>
    <row r="22" spans="1:10" ht="15">
      <c r="A22" s="299" t="s">
        <v>1300</v>
      </c>
      <c r="B22" s="292" t="s">
        <v>853</v>
      </c>
      <c r="C22" s="280" t="s">
        <v>1301</v>
      </c>
      <c r="D22" s="301" t="s">
        <v>1182</v>
      </c>
      <c r="E22" s="280">
        <v>5</v>
      </c>
      <c r="F22" s="686"/>
      <c r="G22" s="281">
        <f t="shared" si="0"/>
        <v>0</v>
      </c>
      <c r="J22" s="179"/>
    </row>
    <row r="23" spans="1:10" ht="20.4">
      <c r="A23" s="293" t="s">
        <v>1302</v>
      </c>
      <c r="B23" s="294" t="s">
        <v>853</v>
      </c>
      <c r="C23" s="305" t="s">
        <v>1303</v>
      </c>
      <c r="D23" s="297" t="s">
        <v>139</v>
      </c>
      <c r="E23" s="293">
        <v>125</v>
      </c>
      <c r="F23" s="685"/>
      <c r="G23" s="298">
        <f t="shared" si="0"/>
        <v>0</v>
      </c>
      <c r="J23" s="179"/>
    </row>
    <row r="24" spans="1:7" ht="15">
      <c r="A24" s="299" t="s">
        <v>1304</v>
      </c>
      <c r="B24" s="292" t="s">
        <v>853</v>
      </c>
      <c r="C24" s="300" t="s">
        <v>1305</v>
      </c>
      <c r="D24" s="301" t="s">
        <v>139</v>
      </c>
      <c r="E24" s="299">
        <f>110-18</f>
        <v>92</v>
      </c>
      <c r="F24" s="693"/>
      <c r="G24" s="302">
        <f t="shared" si="0"/>
        <v>0</v>
      </c>
    </row>
    <row r="25" spans="1:7" ht="15">
      <c r="A25" s="299" t="s">
        <v>1306</v>
      </c>
      <c r="B25" s="292" t="s">
        <v>853</v>
      </c>
      <c r="C25" s="300" t="s">
        <v>1307</v>
      </c>
      <c r="D25" s="301" t="s">
        <v>1182</v>
      </c>
      <c r="E25" s="299">
        <f>430-72</f>
        <v>358</v>
      </c>
      <c r="F25" s="693"/>
      <c r="G25" s="302">
        <f t="shared" si="0"/>
        <v>0</v>
      </c>
    </row>
    <row r="26" spans="1:7" ht="15">
      <c r="A26" s="299" t="s">
        <v>1308</v>
      </c>
      <c r="B26" s="292" t="s">
        <v>853</v>
      </c>
      <c r="C26" s="300" t="s">
        <v>1309</v>
      </c>
      <c r="D26" s="301" t="s">
        <v>139</v>
      </c>
      <c r="E26" s="280">
        <f>20-4</f>
        <v>16</v>
      </c>
      <c r="F26" s="686"/>
      <c r="G26" s="281">
        <f>E26*F26</f>
        <v>0</v>
      </c>
    </row>
    <row r="27" spans="1:7" ht="15">
      <c r="A27" s="306"/>
      <c r="B27" s="306"/>
      <c r="C27" s="306"/>
      <c r="D27" s="306"/>
      <c r="E27" s="306"/>
      <c r="F27" s="307"/>
      <c r="G27" s="307"/>
    </row>
    <row r="28" spans="1:7" ht="15">
      <c r="A28" s="308"/>
      <c r="B28" s="308"/>
      <c r="C28" s="308"/>
      <c r="D28" s="308"/>
      <c r="E28" s="308"/>
      <c r="F28" s="309"/>
      <c r="G28" s="310">
        <f>SUM(G6:G27)</f>
        <v>0</v>
      </c>
    </row>
    <row r="29" spans="1:7" ht="15">
      <c r="A29" s="308"/>
      <c r="B29" s="308"/>
      <c r="C29" s="308"/>
      <c r="D29" s="308"/>
      <c r="E29" s="308"/>
      <c r="F29" s="309"/>
      <c r="G29" s="309"/>
    </row>
    <row r="30" spans="1:8" ht="15">
      <c r="A30" s="311"/>
      <c r="B30" s="312"/>
      <c r="C30" s="287" t="s">
        <v>1310</v>
      </c>
      <c r="D30" s="287"/>
      <c r="E30" s="312"/>
      <c r="F30" s="313"/>
      <c r="G30" s="314"/>
      <c r="H30" s="178"/>
    </row>
    <row r="31" spans="1:8" ht="15">
      <c r="A31" s="315"/>
      <c r="B31" s="315"/>
      <c r="C31" s="315"/>
      <c r="D31" s="315"/>
      <c r="E31" s="315"/>
      <c r="F31" s="316"/>
      <c r="G31" s="316"/>
      <c r="H31" s="178"/>
    </row>
    <row r="32" spans="1:10" ht="15">
      <c r="A32" s="315" t="s">
        <v>1266</v>
      </c>
      <c r="B32" s="315"/>
      <c r="C32" s="308" t="s">
        <v>1311</v>
      </c>
      <c r="D32" s="315"/>
      <c r="E32" s="315"/>
      <c r="F32" s="316"/>
      <c r="G32" s="310">
        <f>(G28)*3%</f>
        <v>0</v>
      </c>
      <c r="H32" s="178"/>
      <c r="J32" s="179"/>
    </row>
    <row r="33" spans="1:10" ht="15">
      <c r="A33" s="308"/>
      <c r="B33" s="308"/>
      <c r="C33" s="308"/>
      <c r="D33" s="308"/>
      <c r="E33" s="308"/>
      <c r="F33" s="309"/>
      <c r="G33" s="309"/>
      <c r="H33" s="178"/>
      <c r="J33" s="179"/>
    </row>
    <row r="34" spans="1:10" ht="15">
      <c r="A34" s="317"/>
      <c r="B34" s="318"/>
      <c r="C34" s="318"/>
      <c r="D34" s="318"/>
      <c r="E34" s="318"/>
      <c r="F34" s="319"/>
      <c r="G34" s="320"/>
      <c r="H34" s="178"/>
      <c r="J34" s="179"/>
    </row>
    <row r="35" spans="1:10" ht="15">
      <c r="A35" s="321"/>
      <c r="B35" s="322"/>
      <c r="C35" s="322" t="s">
        <v>1312</v>
      </c>
      <c r="D35" s="322"/>
      <c r="E35" s="322"/>
      <c r="F35" s="323"/>
      <c r="G35" s="324">
        <f>G32+G28</f>
        <v>0</v>
      </c>
      <c r="H35" s="178"/>
      <c r="J35" s="179"/>
    </row>
    <row r="36" spans="1:10" ht="15">
      <c r="A36" s="325"/>
      <c r="B36" s="326"/>
      <c r="C36" s="326"/>
      <c r="D36" s="326"/>
      <c r="E36" s="326"/>
      <c r="F36" s="327"/>
      <c r="G36" s="328"/>
      <c r="H36" s="178"/>
      <c r="J36" s="179"/>
    </row>
    <row r="37" spans="1:10" ht="15">
      <c r="A37" s="306"/>
      <c r="B37" s="306"/>
      <c r="C37" s="306"/>
      <c r="D37" s="306"/>
      <c r="E37" s="306"/>
      <c r="F37" s="307"/>
      <c r="G37" s="307"/>
      <c r="J37" s="179"/>
    </row>
    <row r="38" spans="1:10" ht="15">
      <c r="A38" s="306"/>
      <c r="B38" s="306"/>
      <c r="C38" s="306"/>
      <c r="D38" s="306"/>
      <c r="E38" s="306"/>
      <c r="F38" s="307"/>
      <c r="G38" s="307"/>
      <c r="J38" s="179"/>
    </row>
    <row r="39" spans="1:10" ht="15">
      <c r="A39" s="306"/>
      <c r="B39" s="306"/>
      <c r="C39" s="306"/>
      <c r="D39" s="306"/>
      <c r="E39" s="306"/>
      <c r="F39" s="307"/>
      <c r="G39" s="307"/>
      <c r="J39" s="179"/>
    </row>
    <row r="40" spans="1:7" s="181" customFormat="1" ht="13.2">
      <c r="A40" s="329"/>
      <c r="B40" s="330"/>
      <c r="C40" s="330" t="s">
        <v>1313</v>
      </c>
      <c r="D40" s="330"/>
      <c r="E40" s="331"/>
      <c r="F40" s="332"/>
      <c r="G40" s="333"/>
    </row>
    <row r="41" spans="1:9" s="181" customFormat="1" ht="9.9" customHeight="1">
      <c r="A41" s="334"/>
      <c r="B41" s="334"/>
      <c r="C41" s="334"/>
      <c r="D41" s="334"/>
      <c r="E41" s="334"/>
      <c r="F41" s="335"/>
      <c r="G41" s="335"/>
      <c r="H41" s="184"/>
      <c r="I41" s="184"/>
    </row>
    <row r="42" spans="1:9" s="181" customFormat="1" ht="13.2">
      <c r="A42" s="336" t="s">
        <v>862</v>
      </c>
      <c r="B42" s="337" t="s">
        <v>863</v>
      </c>
      <c r="C42" s="336" t="s">
        <v>33</v>
      </c>
      <c r="D42" s="336" t="s">
        <v>34</v>
      </c>
      <c r="E42" s="336" t="s">
        <v>865</v>
      </c>
      <c r="F42" s="338" t="s">
        <v>1264</v>
      </c>
      <c r="G42" s="338" t="s">
        <v>15</v>
      </c>
      <c r="H42" s="184"/>
      <c r="I42" s="184"/>
    </row>
    <row r="43" spans="1:10" s="181" customFormat="1" ht="13.2">
      <c r="A43" s="339"/>
      <c r="B43" s="340"/>
      <c r="C43" s="341" t="s">
        <v>1314</v>
      </c>
      <c r="D43" s="341"/>
      <c r="E43" s="341"/>
      <c r="F43" s="342"/>
      <c r="G43" s="343"/>
      <c r="H43" s="184"/>
      <c r="I43" s="184"/>
      <c r="J43" s="184"/>
    </row>
    <row r="44" spans="1:10" s="181" customFormat="1" ht="9.9" customHeight="1">
      <c r="A44" s="334"/>
      <c r="B44" s="344"/>
      <c r="C44" s="334"/>
      <c r="D44" s="334"/>
      <c r="E44" s="334"/>
      <c r="F44" s="335"/>
      <c r="G44" s="335"/>
      <c r="H44" s="185"/>
      <c r="J44" s="184"/>
    </row>
    <row r="45" spans="1:10" s="181" customFormat="1" ht="51">
      <c r="A45" s="345" t="s">
        <v>1266</v>
      </c>
      <c r="B45" s="346" t="s">
        <v>882</v>
      </c>
      <c r="C45" s="347" t="s">
        <v>1315</v>
      </c>
      <c r="D45" s="348" t="s">
        <v>1182</v>
      </c>
      <c r="E45" s="349">
        <v>3</v>
      </c>
      <c r="F45" s="687"/>
      <c r="G45" s="350">
        <f aca="true" t="shared" si="1" ref="G45:G49">(E45*F45)</f>
        <v>0</v>
      </c>
      <c r="H45" s="185"/>
      <c r="J45" s="184"/>
    </row>
    <row r="46" spans="1:10" s="181" customFormat="1" ht="51">
      <c r="A46" s="345" t="s">
        <v>1269</v>
      </c>
      <c r="B46" s="346" t="s">
        <v>882</v>
      </c>
      <c r="C46" s="347" t="s">
        <v>1316</v>
      </c>
      <c r="D46" s="348" t="s">
        <v>1182</v>
      </c>
      <c r="E46" s="349">
        <v>4</v>
      </c>
      <c r="F46" s="687"/>
      <c r="G46" s="350">
        <f t="shared" si="1"/>
        <v>0</v>
      </c>
      <c r="H46" s="185"/>
      <c r="J46" s="184"/>
    </row>
    <row r="47" spans="1:10" s="181" customFormat="1" ht="35.1" customHeight="1">
      <c r="A47" s="345" t="s">
        <v>1271</v>
      </c>
      <c r="B47" s="346" t="s">
        <v>882</v>
      </c>
      <c r="C47" s="347" t="s">
        <v>1317</v>
      </c>
      <c r="D47" s="348" t="s">
        <v>1182</v>
      </c>
      <c r="E47" s="349">
        <v>1</v>
      </c>
      <c r="F47" s="687"/>
      <c r="G47" s="350">
        <f t="shared" si="1"/>
        <v>0</v>
      </c>
      <c r="H47" s="185"/>
      <c r="J47" s="184"/>
    </row>
    <row r="48" spans="1:10" s="181" customFormat="1" ht="35.1" customHeight="1">
      <c r="A48" s="345" t="s">
        <v>1273</v>
      </c>
      <c r="B48" s="346" t="s">
        <v>882</v>
      </c>
      <c r="C48" s="347" t="s">
        <v>1318</v>
      </c>
      <c r="D48" s="348" t="s">
        <v>1182</v>
      </c>
      <c r="E48" s="349">
        <v>3</v>
      </c>
      <c r="F48" s="687"/>
      <c r="G48" s="350">
        <f t="shared" si="1"/>
        <v>0</v>
      </c>
      <c r="H48" s="185"/>
      <c r="J48" s="184"/>
    </row>
    <row r="49" spans="1:10" s="181" customFormat="1" ht="35.1" customHeight="1">
      <c r="A49" s="345" t="s">
        <v>1276</v>
      </c>
      <c r="B49" s="346" t="s">
        <v>882</v>
      </c>
      <c r="C49" s="347" t="s">
        <v>1319</v>
      </c>
      <c r="D49" s="348" t="s">
        <v>1182</v>
      </c>
      <c r="E49" s="349">
        <v>2</v>
      </c>
      <c r="F49" s="687"/>
      <c r="G49" s="350">
        <f t="shared" si="1"/>
        <v>0</v>
      </c>
      <c r="H49" s="185"/>
      <c r="J49" s="184"/>
    </row>
    <row r="50" spans="1:10" s="181" customFormat="1" ht="24.9" customHeight="1">
      <c r="A50" s="345" t="s">
        <v>1278</v>
      </c>
      <c r="B50" s="346" t="s">
        <v>882</v>
      </c>
      <c r="C50" s="347" t="s">
        <v>1279</v>
      </c>
      <c r="D50" s="349" t="s">
        <v>1182</v>
      </c>
      <c r="E50" s="349">
        <v>7</v>
      </c>
      <c r="F50" s="687"/>
      <c r="G50" s="351">
        <f>E50*F50</f>
        <v>0</v>
      </c>
      <c r="H50" s="185"/>
      <c r="I50" s="184"/>
      <c r="J50" s="184"/>
    </row>
    <row r="51" spans="1:10" s="181" customFormat="1" ht="13.2">
      <c r="A51" s="352" t="s">
        <v>1280</v>
      </c>
      <c r="B51" s="344" t="s">
        <v>882</v>
      </c>
      <c r="C51" s="352" t="s">
        <v>1320</v>
      </c>
      <c r="D51" s="353" t="s">
        <v>1182</v>
      </c>
      <c r="E51" s="354">
        <v>7</v>
      </c>
      <c r="F51" s="694"/>
      <c r="G51" s="355">
        <f>(E51*F51)</f>
        <v>0</v>
      </c>
      <c r="H51" s="185"/>
      <c r="I51" s="184"/>
      <c r="J51" s="184"/>
    </row>
    <row r="52" spans="1:10" s="181" customFormat="1" ht="13.2">
      <c r="A52" s="334" t="s">
        <v>1282</v>
      </c>
      <c r="B52" s="344" t="s">
        <v>882</v>
      </c>
      <c r="C52" s="334" t="s">
        <v>1321</v>
      </c>
      <c r="D52" s="354" t="s">
        <v>1182</v>
      </c>
      <c r="E52" s="354">
        <v>49</v>
      </c>
      <c r="F52" s="183"/>
      <c r="G52" s="335">
        <f>(E52*F52)</f>
        <v>0</v>
      </c>
      <c r="H52" s="185"/>
      <c r="I52" s="184"/>
      <c r="J52" s="184"/>
    </row>
    <row r="53" spans="1:10" s="181" customFormat="1" ht="13.2">
      <c r="A53" s="334" t="s">
        <v>1284</v>
      </c>
      <c r="B53" s="344" t="s">
        <v>882</v>
      </c>
      <c r="C53" s="334" t="s">
        <v>1322</v>
      </c>
      <c r="D53" s="354" t="s">
        <v>139</v>
      </c>
      <c r="E53" s="354">
        <f>115-27</f>
        <v>88</v>
      </c>
      <c r="F53" s="183"/>
      <c r="G53" s="335">
        <f>(E53*F53)</f>
        <v>0</v>
      </c>
      <c r="H53" s="183"/>
      <c r="I53" s="184"/>
      <c r="J53" s="184"/>
    </row>
    <row r="54" spans="1:10" s="181" customFormat="1" ht="13.2">
      <c r="A54" s="334" t="s">
        <v>1286</v>
      </c>
      <c r="B54" s="344" t="s">
        <v>882</v>
      </c>
      <c r="C54" s="334" t="s">
        <v>1323</v>
      </c>
      <c r="D54" s="354" t="s">
        <v>139</v>
      </c>
      <c r="E54" s="354">
        <v>58</v>
      </c>
      <c r="F54" s="183"/>
      <c r="G54" s="335">
        <f>(E54*F54)</f>
        <v>0</v>
      </c>
      <c r="J54" s="184"/>
    </row>
    <row r="55" spans="1:10" s="181" customFormat="1" ht="13.2">
      <c r="A55" s="334" t="s">
        <v>1288</v>
      </c>
      <c r="B55" s="344" t="s">
        <v>882</v>
      </c>
      <c r="C55" s="334" t="s">
        <v>1324</v>
      </c>
      <c r="D55" s="354" t="s">
        <v>1182</v>
      </c>
      <c r="E55" s="334">
        <v>14</v>
      </c>
      <c r="F55" s="183"/>
      <c r="G55" s="335">
        <f>(E55*F55)</f>
        <v>0</v>
      </c>
      <c r="J55" s="184"/>
    </row>
    <row r="56" spans="1:10" s="181" customFormat="1" ht="20.4">
      <c r="A56" s="345" t="s">
        <v>1290</v>
      </c>
      <c r="B56" s="346" t="s">
        <v>882</v>
      </c>
      <c r="C56" s="356" t="s">
        <v>1325</v>
      </c>
      <c r="D56" s="348" t="s">
        <v>1182</v>
      </c>
      <c r="E56" s="356">
        <v>5</v>
      </c>
      <c r="F56" s="688"/>
      <c r="G56" s="357">
        <f>E56*F56</f>
        <v>0</v>
      </c>
      <c r="J56" s="184"/>
    </row>
    <row r="57" spans="1:10" s="181" customFormat="1" ht="12.9" customHeight="1">
      <c r="A57" s="352" t="s">
        <v>1292</v>
      </c>
      <c r="B57" s="344" t="s">
        <v>882</v>
      </c>
      <c r="C57" s="358" t="s">
        <v>1326</v>
      </c>
      <c r="D57" s="353" t="s">
        <v>1182</v>
      </c>
      <c r="E57" s="358">
        <v>5</v>
      </c>
      <c r="F57" s="689"/>
      <c r="G57" s="359">
        <f>E57*F57</f>
        <v>0</v>
      </c>
      <c r="J57" s="184"/>
    </row>
    <row r="58" spans="1:10" s="181" customFormat="1" ht="13.2">
      <c r="A58" s="352" t="s">
        <v>1294</v>
      </c>
      <c r="B58" s="344" t="s">
        <v>882</v>
      </c>
      <c r="C58" s="352" t="s">
        <v>1327</v>
      </c>
      <c r="D58" s="354" t="s">
        <v>139</v>
      </c>
      <c r="E58" s="352">
        <v>440</v>
      </c>
      <c r="F58" s="694"/>
      <c r="G58" s="355">
        <f>(E58*F58)</f>
        <v>0</v>
      </c>
      <c r="J58" s="184"/>
    </row>
    <row r="59" spans="1:10" s="181" customFormat="1" ht="13.2">
      <c r="A59" s="352" t="s">
        <v>1296</v>
      </c>
      <c r="B59" s="344" t="s">
        <v>882</v>
      </c>
      <c r="C59" s="352" t="s">
        <v>1328</v>
      </c>
      <c r="D59" s="354" t="s">
        <v>139</v>
      </c>
      <c r="E59" s="352">
        <f>285-18</f>
        <v>267</v>
      </c>
      <c r="F59" s="694"/>
      <c r="G59" s="355">
        <f>(E59*F59)</f>
        <v>0</v>
      </c>
      <c r="J59" s="184"/>
    </row>
    <row r="60" spans="1:10" s="181" customFormat="1" ht="13.2">
      <c r="A60" s="352" t="s">
        <v>1298</v>
      </c>
      <c r="B60" s="344" t="s">
        <v>882</v>
      </c>
      <c r="C60" s="352" t="s">
        <v>1329</v>
      </c>
      <c r="D60" s="354" t="s">
        <v>1182</v>
      </c>
      <c r="E60" s="352">
        <f>430-72</f>
        <v>358</v>
      </c>
      <c r="F60" s="694"/>
      <c r="G60" s="355">
        <f>(E60*F60)</f>
        <v>0</v>
      </c>
      <c r="J60" s="184"/>
    </row>
    <row r="61" spans="1:10" s="181" customFormat="1" ht="13.2">
      <c r="A61" s="352" t="s">
        <v>1300</v>
      </c>
      <c r="B61" s="344" t="s">
        <v>882</v>
      </c>
      <c r="C61" s="352" t="s">
        <v>1330</v>
      </c>
      <c r="D61" s="353" t="s">
        <v>139</v>
      </c>
      <c r="E61" s="354">
        <v>26</v>
      </c>
      <c r="F61" s="694"/>
      <c r="G61" s="355">
        <f>(E61*F61)</f>
        <v>0</v>
      </c>
      <c r="J61" s="184"/>
    </row>
    <row r="62" spans="1:10" s="181" customFormat="1" ht="13.2">
      <c r="A62" s="352" t="s">
        <v>1302</v>
      </c>
      <c r="B62" s="344" t="s">
        <v>882</v>
      </c>
      <c r="C62" s="358" t="s">
        <v>1331</v>
      </c>
      <c r="D62" s="354" t="s">
        <v>139</v>
      </c>
      <c r="E62" s="352">
        <v>16</v>
      </c>
      <c r="F62" s="694"/>
      <c r="G62" s="355">
        <f>E62*F62</f>
        <v>0</v>
      </c>
      <c r="J62" s="184"/>
    </row>
    <row r="63" spans="1:10" s="181" customFormat="1" ht="13.2">
      <c r="A63" s="345"/>
      <c r="B63" s="346"/>
      <c r="C63" s="360"/>
      <c r="D63" s="360"/>
      <c r="E63" s="360"/>
      <c r="F63" s="361"/>
      <c r="G63" s="361"/>
      <c r="J63" s="184"/>
    </row>
    <row r="64" spans="1:10" s="181" customFormat="1" ht="13.2">
      <c r="A64" s="334"/>
      <c r="B64" s="344"/>
      <c r="C64" s="360"/>
      <c r="D64" s="360"/>
      <c r="E64" s="360"/>
      <c r="F64" s="361"/>
      <c r="G64" s="362">
        <f>SUM(G45:G63)</f>
        <v>0</v>
      </c>
      <c r="J64" s="184"/>
    </row>
    <row r="65" spans="1:10" s="181" customFormat="1" ht="13.2">
      <c r="A65" s="334"/>
      <c r="B65" s="360"/>
      <c r="C65" s="360"/>
      <c r="D65" s="360"/>
      <c r="E65" s="360"/>
      <c r="F65" s="361"/>
      <c r="G65" s="361"/>
      <c r="J65" s="182"/>
    </row>
    <row r="66" spans="1:10" s="181" customFormat="1" ht="13.2">
      <c r="A66" s="363"/>
      <c r="B66" s="364"/>
      <c r="C66" s="364" t="s">
        <v>1332</v>
      </c>
      <c r="D66" s="364"/>
      <c r="E66" s="364"/>
      <c r="F66" s="365"/>
      <c r="G66" s="366"/>
      <c r="J66" s="182"/>
    </row>
    <row r="67" spans="1:10" s="181" customFormat="1" ht="13.2">
      <c r="A67" s="334"/>
      <c r="B67" s="334"/>
      <c r="C67" s="360"/>
      <c r="D67" s="360"/>
      <c r="E67" s="360"/>
      <c r="F67" s="361"/>
      <c r="G67" s="361"/>
      <c r="H67" s="185"/>
      <c r="J67" s="182"/>
    </row>
    <row r="68" spans="1:10" s="181" customFormat="1" ht="13.2">
      <c r="A68" s="334" t="s">
        <v>1266</v>
      </c>
      <c r="B68" s="344" t="s">
        <v>882</v>
      </c>
      <c r="C68" s="334" t="s">
        <v>1333</v>
      </c>
      <c r="D68" s="354" t="s">
        <v>139</v>
      </c>
      <c r="E68" s="334">
        <f>290-48</f>
        <v>242</v>
      </c>
      <c r="F68" s="183"/>
      <c r="G68" s="335">
        <f aca="true" t="shared" si="2" ref="G68:G76">E68*F68</f>
        <v>0</v>
      </c>
      <c r="H68" s="185"/>
      <c r="J68" s="182"/>
    </row>
    <row r="69" spans="1:10" s="181" customFormat="1" ht="13.2">
      <c r="A69" s="334" t="s">
        <v>1268</v>
      </c>
      <c r="B69" s="344" t="s">
        <v>882</v>
      </c>
      <c r="C69" s="334" t="s">
        <v>1334</v>
      </c>
      <c r="D69" s="354" t="s">
        <v>139</v>
      </c>
      <c r="E69" s="334">
        <f>170-28</f>
        <v>142</v>
      </c>
      <c r="F69" s="183"/>
      <c r="G69" s="335">
        <f t="shared" si="2"/>
        <v>0</v>
      </c>
      <c r="H69" s="186"/>
      <c r="J69" s="182"/>
    </row>
    <row r="70" spans="1:10" s="181" customFormat="1" ht="13.2">
      <c r="A70" s="334" t="s">
        <v>1269</v>
      </c>
      <c r="B70" s="344" t="s">
        <v>882</v>
      </c>
      <c r="C70" s="334" t="s">
        <v>1335</v>
      </c>
      <c r="D70" s="354" t="s">
        <v>1182</v>
      </c>
      <c r="E70" s="334">
        <f>24-4</f>
        <v>20</v>
      </c>
      <c r="F70" s="183"/>
      <c r="G70" s="335">
        <f t="shared" si="2"/>
        <v>0</v>
      </c>
      <c r="J70" s="182"/>
    </row>
    <row r="71" spans="1:10" s="181" customFormat="1" ht="13.2">
      <c r="A71" s="334" t="s">
        <v>1271</v>
      </c>
      <c r="B71" s="344" t="s">
        <v>882</v>
      </c>
      <c r="C71" s="358" t="s">
        <v>1336</v>
      </c>
      <c r="D71" s="367" t="s">
        <v>1182</v>
      </c>
      <c r="E71" s="358">
        <v>6</v>
      </c>
      <c r="F71" s="689"/>
      <c r="G71" s="335">
        <f t="shared" si="2"/>
        <v>0</v>
      </c>
      <c r="J71" s="182"/>
    </row>
    <row r="72" spans="1:10" s="181" customFormat="1" ht="13.2">
      <c r="A72" s="334" t="s">
        <v>1273</v>
      </c>
      <c r="B72" s="344" t="s">
        <v>882</v>
      </c>
      <c r="C72" s="358" t="s">
        <v>1337</v>
      </c>
      <c r="D72" s="367" t="s">
        <v>1182</v>
      </c>
      <c r="E72" s="358">
        <v>1</v>
      </c>
      <c r="F72" s="689"/>
      <c r="G72" s="335">
        <f t="shared" si="2"/>
        <v>0</v>
      </c>
      <c r="H72" s="185"/>
      <c r="J72" s="182"/>
    </row>
    <row r="73" spans="1:10" s="181" customFormat="1" ht="13.2">
      <c r="A73" s="334" t="s">
        <v>1275</v>
      </c>
      <c r="B73" s="344" t="s">
        <v>882</v>
      </c>
      <c r="C73" s="358" t="s">
        <v>1338</v>
      </c>
      <c r="D73" s="367" t="s">
        <v>1182</v>
      </c>
      <c r="E73" s="334">
        <v>10</v>
      </c>
      <c r="F73" s="183"/>
      <c r="G73" s="335">
        <f t="shared" si="2"/>
        <v>0</v>
      </c>
      <c r="H73" s="185"/>
      <c r="J73" s="182"/>
    </row>
    <row r="74" spans="1:10" s="181" customFormat="1" ht="13.2">
      <c r="A74" s="334" t="s">
        <v>1276</v>
      </c>
      <c r="B74" s="344" t="s">
        <v>882</v>
      </c>
      <c r="C74" s="334" t="s">
        <v>1339</v>
      </c>
      <c r="D74" s="354" t="s">
        <v>66</v>
      </c>
      <c r="E74" s="354">
        <v>1.2</v>
      </c>
      <c r="F74" s="183"/>
      <c r="G74" s="335">
        <f t="shared" si="2"/>
        <v>0</v>
      </c>
      <c r="I74" s="184"/>
      <c r="J74" s="182"/>
    </row>
    <row r="75" spans="1:10" s="181" customFormat="1" ht="20.4">
      <c r="A75" s="345" t="s">
        <v>1278</v>
      </c>
      <c r="B75" s="346" t="s">
        <v>882</v>
      </c>
      <c r="C75" s="356" t="s">
        <v>1340</v>
      </c>
      <c r="D75" s="368" t="s">
        <v>48</v>
      </c>
      <c r="E75" s="369">
        <f>100-17</f>
        <v>83</v>
      </c>
      <c r="F75" s="690"/>
      <c r="G75" s="350">
        <f t="shared" si="2"/>
        <v>0</v>
      </c>
      <c r="I75" s="184"/>
      <c r="J75" s="182"/>
    </row>
    <row r="76" spans="1:10" s="181" customFormat="1" ht="30.6">
      <c r="A76" s="345" t="s">
        <v>1280</v>
      </c>
      <c r="B76" s="346" t="s">
        <v>882</v>
      </c>
      <c r="C76" s="356" t="s">
        <v>1341</v>
      </c>
      <c r="D76" s="368" t="s">
        <v>48</v>
      </c>
      <c r="E76" s="369">
        <f>100-17</f>
        <v>83</v>
      </c>
      <c r="F76" s="690"/>
      <c r="G76" s="350">
        <f t="shared" si="2"/>
        <v>0</v>
      </c>
      <c r="J76" s="182"/>
    </row>
    <row r="77" spans="1:10" s="181" customFormat="1" ht="13.2">
      <c r="A77" s="334"/>
      <c r="B77" s="344"/>
      <c r="C77" s="360"/>
      <c r="D77" s="360"/>
      <c r="E77" s="360"/>
      <c r="F77" s="361"/>
      <c r="G77" s="361"/>
      <c r="J77" s="182"/>
    </row>
    <row r="78" spans="1:10" s="181" customFormat="1" ht="13.2">
      <c r="A78" s="360"/>
      <c r="B78" s="360"/>
      <c r="C78" s="334"/>
      <c r="D78" s="354"/>
      <c r="E78" s="334"/>
      <c r="F78" s="335"/>
      <c r="G78" s="362">
        <f>SUM(G68:G77)</f>
        <v>0</v>
      </c>
      <c r="H78" s="185"/>
      <c r="J78" s="184"/>
    </row>
    <row r="79" spans="1:10" s="181" customFormat="1" ht="13.2">
      <c r="A79" s="360"/>
      <c r="B79" s="360"/>
      <c r="C79" s="360"/>
      <c r="D79" s="360"/>
      <c r="E79" s="360"/>
      <c r="F79" s="361"/>
      <c r="G79" s="361"/>
      <c r="J79" s="184"/>
    </row>
    <row r="80" spans="1:10" s="181" customFormat="1" ht="13.2">
      <c r="A80" s="363"/>
      <c r="B80" s="364"/>
      <c r="C80" s="364" t="s">
        <v>1342</v>
      </c>
      <c r="D80" s="364"/>
      <c r="E80" s="364"/>
      <c r="F80" s="365"/>
      <c r="G80" s="366"/>
      <c r="H80" s="185"/>
      <c r="J80" s="184"/>
    </row>
    <row r="81" spans="1:10" s="181" customFormat="1" ht="13.2">
      <c r="A81" s="334"/>
      <c r="B81" s="334"/>
      <c r="C81" s="334"/>
      <c r="D81" s="334"/>
      <c r="E81" s="334"/>
      <c r="F81" s="335"/>
      <c r="G81" s="335"/>
      <c r="H81" s="185"/>
      <c r="I81" s="184"/>
      <c r="J81" s="184"/>
    </row>
    <row r="82" spans="1:10" s="181" customFormat="1" ht="13.2">
      <c r="A82" s="334" t="s">
        <v>1266</v>
      </c>
      <c r="B82" s="344" t="s">
        <v>882</v>
      </c>
      <c r="C82" s="334" t="s">
        <v>1343</v>
      </c>
      <c r="D82" s="354" t="s">
        <v>1344</v>
      </c>
      <c r="E82" s="354">
        <v>17</v>
      </c>
      <c r="F82" s="691"/>
      <c r="G82" s="370">
        <f aca="true" t="shared" si="3" ref="G82:G89">E82*F82</f>
        <v>0</v>
      </c>
      <c r="H82" s="185"/>
      <c r="I82" s="184"/>
      <c r="J82" s="184"/>
    </row>
    <row r="83" spans="1:10" s="181" customFormat="1" ht="13.2">
      <c r="A83" s="334" t="s">
        <v>1268</v>
      </c>
      <c r="B83" s="344" t="s">
        <v>882</v>
      </c>
      <c r="C83" s="358" t="s">
        <v>1345</v>
      </c>
      <c r="D83" s="353" t="s">
        <v>1344</v>
      </c>
      <c r="E83" s="353">
        <v>13</v>
      </c>
      <c r="F83" s="692"/>
      <c r="G83" s="370">
        <f t="shared" si="3"/>
        <v>0</v>
      </c>
      <c r="H83" s="185"/>
      <c r="I83" s="184"/>
      <c r="J83" s="184"/>
    </row>
    <row r="84" spans="1:10" s="181" customFormat="1" ht="13.2">
      <c r="A84" s="334" t="s">
        <v>1269</v>
      </c>
      <c r="B84" s="344" t="s">
        <v>882</v>
      </c>
      <c r="C84" s="358" t="s">
        <v>1346</v>
      </c>
      <c r="D84" s="353" t="s">
        <v>1344</v>
      </c>
      <c r="E84" s="354">
        <v>50</v>
      </c>
      <c r="F84" s="691"/>
      <c r="G84" s="370">
        <f t="shared" si="3"/>
        <v>0</v>
      </c>
      <c r="H84" s="185"/>
      <c r="J84" s="184"/>
    </row>
    <row r="85" spans="1:10" s="181" customFormat="1" ht="13.2">
      <c r="A85" s="334" t="s">
        <v>1271</v>
      </c>
      <c r="B85" s="344" t="s">
        <v>882</v>
      </c>
      <c r="C85" s="334" t="s">
        <v>1347</v>
      </c>
      <c r="D85" s="354" t="s">
        <v>1344</v>
      </c>
      <c r="E85" s="354">
        <v>30</v>
      </c>
      <c r="F85" s="691"/>
      <c r="G85" s="370">
        <f t="shared" si="3"/>
        <v>0</v>
      </c>
      <c r="H85" s="185"/>
      <c r="J85" s="184"/>
    </row>
    <row r="86" spans="1:10" s="181" customFormat="1" ht="13.2">
      <c r="A86" s="334" t="s">
        <v>1273</v>
      </c>
      <c r="B86" s="344" t="s">
        <v>882</v>
      </c>
      <c r="C86" s="334" t="s">
        <v>1348</v>
      </c>
      <c r="D86" s="354" t="s">
        <v>1344</v>
      </c>
      <c r="E86" s="354">
        <v>5</v>
      </c>
      <c r="F86" s="691"/>
      <c r="G86" s="370">
        <f t="shared" si="3"/>
        <v>0</v>
      </c>
      <c r="H86" s="185"/>
      <c r="J86" s="184"/>
    </row>
    <row r="87" spans="1:10" s="181" customFormat="1" ht="13.2">
      <c r="A87" s="334" t="s">
        <v>1275</v>
      </c>
      <c r="B87" s="344" t="s">
        <v>882</v>
      </c>
      <c r="C87" s="334" t="s">
        <v>1349</v>
      </c>
      <c r="D87" s="354" t="s">
        <v>1344</v>
      </c>
      <c r="E87" s="354">
        <v>20</v>
      </c>
      <c r="F87" s="691"/>
      <c r="G87" s="370">
        <f t="shared" si="3"/>
        <v>0</v>
      </c>
      <c r="J87" s="184"/>
    </row>
    <row r="88" spans="1:10" s="181" customFormat="1" ht="13.2">
      <c r="A88" s="358" t="s">
        <v>1276</v>
      </c>
      <c r="B88" s="371" t="s">
        <v>882</v>
      </c>
      <c r="C88" s="334" t="s">
        <v>1350</v>
      </c>
      <c r="D88" s="354" t="s">
        <v>1351</v>
      </c>
      <c r="E88" s="354">
        <v>4</v>
      </c>
      <c r="F88" s="691"/>
      <c r="G88" s="370">
        <f t="shared" si="3"/>
        <v>0</v>
      </c>
      <c r="J88" s="184"/>
    </row>
    <row r="89" spans="1:10" s="181" customFormat="1" ht="13.2">
      <c r="A89" s="358" t="s">
        <v>1278</v>
      </c>
      <c r="B89" s="371" t="s">
        <v>882</v>
      </c>
      <c r="C89" s="358" t="s">
        <v>1352</v>
      </c>
      <c r="D89" s="353" t="s">
        <v>1344</v>
      </c>
      <c r="E89" s="353">
        <v>10</v>
      </c>
      <c r="F89" s="692"/>
      <c r="G89" s="370">
        <f t="shared" si="3"/>
        <v>0</v>
      </c>
      <c r="J89" s="184"/>
    </row>
    <row r="90" spans="1:10" s="181" customFormat="1" ht="13.2">
      <c r="A90" s="360"/>
      <c r="B90" s="360"/>
      <c r="C90" s="360"/>
      <c r="D90" s="360"/>
      <c r="E90" s="360"/>
      <c r="F90" s="361"/>
      <c r="G90" s="361"/>
      <c r="J90" s="184"/>
    </row>
    <row r="91" spans="1:10" s="181" customFormat="1" ht="13.2">
      <c r="A91" s="360"/>
      <c r="B91" s="360"/>
      <c r="C91" s="360"/>
      <c r="D91" s="360"/>
      <c r="E91" s="360"/>
      <c r="F91" s="361"/>
      <c r="G91" s="362">
        <f>SUM(G82:G90)</f>
        <v>0</v>
      </c>
      <c r="H91" s="185"/>
      <c r="J91" s="184"/>
    </row>
    <row r="92" spans="1:10" s="181" customFormat="1" ht="13.2">
      <c r="A92" s="360"/>
      <c r="B92" s="360"/>
      <c r="C92" s="360"/>
      <c r="D92" s="360"/>
      <c r="E92" s="360"/>
      <c r="F92" s="361"/>
      <c r="G92" s="361"/>
      <c r="J92" s="184"/>
    </row>
    <row r="93" spans="1:10" s="181" customFormat="1" ht="13.2">
      <c r="A93" s="372"/>
      <c r="B93" s="373"/>
      <c r="C93" s="374" t="s">
        <v>1353</v>
      </c>
      <c r="D93" s="374"/>
      <c r="E93" s="373"/>
      <c r="F93" s="375"/>
      <c r="G93" s="376"/>
      <c r="J93" s="184"/>
    </row>
    <row r="94" spans="1:10" s="181" customFormat="1" ht="13.2">
      <c r="A94" s="334"/>
      <c r="B94" s="334"/>
      <c r="C94" s="334"/>
      <c r="D94" s="334"/>
      <c r="E94" s="334"/>
      <c r="F94" s="335"/>
      <c r="G94" s="361"/>
      <c r="J94" s="184"/>
    </row>
    <row r="95" spans="1:10" s="181" customFormat="1" ht="13.2">
      <c r="A95" s="334" t="s">
        <v>1266</v>
      </c>
      <c r="B95" s="334"/>
      <c r="C95" s="334" t="s">
        <v>1354</v>
      </c>
      <c r="D95" s="334"/>
      <c r="E95" s="334"/>
      <c r="F95" s="335"/>
      <c r="G95" s="362">
        <f>(G91+G78+G64)*1%</f>
        <v>0</v>
      </c>
      <c r="I95" s="184"/>
      <c r="J95" s="184"/>
    </row>
    <row r="96" spans="1:10" s="181" customFormat="1" ht="13.2">
      <c r="A96" s="334"/>
      <c r="B96" s="334"/>
      <c r="C96" s="334"/>
      <c r="D96" s="334"/>
      <c r="E96" s="334"/>
      <c r="F96" s="335"/>
      <c r="G96" s="377"/>
      <c r="I96" s="184"/>
      <c r="J96" s="184"/>
    </row>
    <row r="97" spans="1:10" s="181" customFormat="1" ht="13.2">
      <c r="A97" s="372"/>
      <c r="B97" s="373"/>
      <c r="C97" s="374" t="s">
        <v>1355</v>
      </c>
      <c r="D97" s="374"/>
      <c r="E97" s="373"/>
      <c r="F97" s="375"/>
      <c r="G97" s="376"/>
      <c r="J97" s="184"/>
    </row>
    <row r="98" spans="1:10" s="181" customFormat="1" ht="13.2">
      <c r="A98" s="334"/>
      <c r="B98" s="334"/>
      <c r="C98" s="334"/>
      <c r="D98" s="334"/>
      <c r="E98" s="334"/>
      <c r="F98" s="335"/>
      <c r="G98" s="361"/>
      <c r="J98" s="184"/>
    </row>
    <row r="99" spans="1:10" s="181" customFormat="1" ht="13.2">
      <c r="A99" s="334" t="s">
        <v>1266</v>
      </c>
      <c r="B99" s="334"/>
      <c r="C99" s="334" t="s">
        <v>1356</v>
      </c>
      <c r="D99" s="334"/>
      <c r="E99" s="378"/>
      <c r="F99" s="335"/>
      <c r="G99" s="362">
        <f>(G91+G78+G64)*2%</f>
        <v>0</v>
      </c>
      <c r="I99" s="184"/>
      <c r="J99" s="184"/>
    </row>
    <row r="100" spans="1:10" s="181" customFormat="1" ht="13.2">
      <c r="A100" s="360"/>
      <c r="B100" s="360"/>
      <c r="C100" s="360"/>
      <c r="D100" s="360"/>
      <c r="E100" s="360"/>
      <c r="F100" s="361"/>
      <c r="G100" s="377"/>
      <c r="I100" s="184"/>
      <c r="J100" s="184"/>
    </row>
    <row r="101" spans="1:10" s="181" customFormat="1" ht="13.2">
      <c r="A101" s="379"/>
      <c r="B101" s="380"/>
      <c r="C101" s="380"/>
      <c r="D101" s="380"/>
      <c r="E101" s="380"/>
      <c r="F101" s="381"/>
      <c r="G101" s="382"/>
      <c r="I101" s="184"/>
      <c r="J101" s="184"/>
    </row>
    <row r="102" spans="1:10" s="181" customFormat="1" ht="13.2">
      <c r="A102" s="383"/>
      <c r="B102" s="384"/>
      <c r="C102" s="384" t="s">
        <v>1357</v>
      </c>
      <c r="D102" s="384"/>
      <c r="E102" s="384"/>
      <c r="F102" s="377"/>
      <c r="G102" s="385">
        <f>SUM(G99+G95+G91+G78+G64)</f>
        <v>0</v>
      </c>
      <c r="I102" s="184"/>
      <c r="J102" s="184"/>
    </row>
    <row r="103" spans="1:7" s="181" customFormat="1" ht="13.2">
      <c r="A103" s="386"/>
      <c r="B103" s="387"/>
      <c r="C103" s="387"/>
      <c r="D103" s="387"/>
      <c r="E103" s="387"/>
      <c r="F103" s="388"/>
      <c r="G103" s="389"/>
    </row>
    <row r="104" spans="1:8" s="181" customFormat="1" ht="13.2">
      <c r="A104" s="360"/>
      <c r="B104" s="360"/>
      <c r="C104" s="360"/>
      <c r="D104" s="360"/>
      <c r="E104" s="360"/>
      <c r="F104" s="361"/>
      <c r="G104" s="361"/>
      <c r="H104" s="185"/>
    </row>
    <row r="105" spans="1:7" s="181" customFormat="1" ht="13.2">
      <c r="A105" s="360"/>
      <c r="B105" s="360"/>
      <c r="C105" s="360" t="s">
        <v>1358</v>
      </c>
      <c r="D105" s="360"/>
      <c r="E105" s="360"/>
      <c r="F105" s="361"/>
      <c r="G105" s="361"/>
    </row>
    <row r="106" spans="13:14" ht="13.95" customHeight="1">
      <c r="M106" s="187"/>
      <c r="N106" s="187"/>
    </row>
    <row r="107" spans="13:14" ht="13.95" customHeight="1">
      <c r="M107" s="179"/>
      <c r="N107" s="187"/>
    </row>
    <row r="108" ht="13.95" customHeight="1">
      <c r="N108" s="187"/>
    </row>
    <row r="109" ht="13.95" customHeight="1">
      <c r="N109" s="187"/>
    </row>
    <row r="110" ht="13.95" customHeight="1">
      <c r="N110" s="187"/>
    </row>
    <row r="111" ht="13.95" customHeight="1">
      <c r="N111" s="187"/>
    </row>
    <row r="112" ht="13.95" customHeight="1">
      <c r="N112" s="187"/>
    </row>
    <row r="113" ht="13.95" customHeight="1">
      <c r="N113" s="187"/>
    </row>
    <row r="114" ht="13.95" customHeight="1">
      <c r="N114" s="179"/>
    </row>
    <row r="115" ht="13.95" customHeight="1">
      <c r="J115" s="179"/>
    </row>
    <row r="116" ht="13.95" customHeight="1">
      <c r="J116" s="179"/>
    </row>
    <row r="117" ht="13.95" customHeight="1">
      <c r="J117" s="179"/>
    </row>
    <row r="118" ht="13.95" customHeight="1">
      <c r="J118" s="179"/>
    </row>
    <row r="119" ht="15" customHeight="1">
      <c r="J119" s="179"/>
    </row>
    <row r="120" ht="15" customHeight="1">
      <c r="J120" s="179"/>
    </row>
    <row r="121" ht="15" customHeight="1">
      <c r="J121" s="179"/>
    </row>
    <row r="122" ht="15" customHeight="1">
      <c r="J122" s="179"/>
    </row>
    <row r="123" ht="15" customHeight="1">
      <c r="J123" s="179"/>
    </row>
    <row r="124" ht="15" customHeight="1">
      <c r="J124" s="179"/>
    </row>
    <row r="125" ht="15" customHeight="1"/>
    <row r="126" ht="15" customHeight="1"/>
    <row r="127" ht="15" customHeight="1"/>
    <row r="128" ht="15">
      <c r="J128" s="179"/>
    </row>
    <row r="129" ht="15">
      <c r="J129" s="179"/>
    </row>
    <row r="130" ht="15">
      <c r="J130" s="179"/>
    </row>
    <row r="131" ht="15">
      <c r="J131" s="179"/>
    </row>
    <row r="132" spans="9:10" ht="15">
      <c r="I132" s="188"/>
      <c r="J132" s="179"/>
    </row>
    <row r="133" spans="9:10" ht="15">
      <c r="I133" s="188"/>
      <c r="J133" s="179"/>
    </row>
    <row r="134" spans="9:10" ht="15">
      <c r="I134" s="188"/>
      <c r="J134" s="179"/>
    </row>
    <row r="135" ht="15">
      <c r="J135" s="179"/>
    </row>
    <row r="136" spans="9:10" ht="15">
      <c r="I136" s="188"/>
      <c r="J136" s="179"/>
    </row>
    <row r="137" spans="9:10" ht="15">
      <c r="I137" s="189"/>
      <c r="J137" s="179"/>
    </row>
    <row r="138" spans="9:10" ht="15">
      <c r="I138" s="190"/>
      <c r="J138" s="179"/>
    </row>
    <row r="141" ht="15">
      <c r="I141" s="189"/>
    </row>
    <row r="142" ht="15">
      <c r="I142" s="189"/>
    </row>
    <row r="143" spans="9:10" ht="15">
      <c r="I143" s="189"/>
      <c r="J143" s="179"/>
    </row>
    <row r="144" spans="9:10" ht="15">
      <c r="I144" s="190"/>
      <c r="J144" s="179"/>
    </row>
    <row r="145" spans="9:10" ht="15">
      <c r="I145" s="190"/>
      <c r="J145" s="179"/>
    </row>
    <row r="146" spans="9:10" ht="15">
      <c r="I146" s="189"/>
      <c r="J146" s="179"/>
    </row>
    <row r="147" spans="9:10" ht="15">
      <c r="I147" s="189"/>
      <c r="J147" s="179"/>
    </row>
    <row r="148" spans="9:10" ht="15">
      <c r="I148" s="189"/>
      <c r="J148" s="179"/>
    </row>
    <row r="149" spans="9:10" ht="15">
      <c r="I149" s="190"/>
      <c r="J149" s="179"/>
    </row>
    <row r="150" spans="8:10" ht="15">
      <c r="H150" s="178"/>
      <c r="I150" s="189"/>
      <c r="J150" s="179"/>
    </row>
    <row r="151" spans="8:10" ht="15">
      <c r="H151" s="191"/>
      <c r="I151" s="189"/>
      <c r="J151" s="179"/>
    </row>
    <row r="152" spans="8:10" ht="15">
      <c r="H152" s="191"/>
      <c r="I152" s="189"/>
      <c r="J152" s="179"/>
    </row>
    <row r="153" spans="8:10" ht="15">
      <c r="H153" s="191"/>
      <c r="J153" s="179"/>
    </row>
    <row r="154" spans="8:10" ht="15">
      <c r="H154" s="191"/>
      <c r="J154" s="179"/>
    </row>
    <row r="155" spans="8:10" ht="15">
      <c r="H155" s="178"/>
      <c r="J155" s="179"/>
    </row>
    <row r="156" spans="8:10" ht="15">
      <c r="H156" s="178"/>
      <c r="J156" s="179"/>
    </row>
    <row r="157" spans="8:10" ht="15">
      <c r="H157" s="178"/>
      <c r="J157" s="179"/>
    </row>
    <row r="158" spans="8:10" ht="15">
      <c r="H158" s="178"/>
      <c r="J158" s="179"/>
    </row>
    <row r="159" spans="8:10" ht="15">
      <c r="H159" s="178"/>
      <c r="J159" s="179"/>
    </row>
    <row r="160" spans="8:10" ht="15">
      <c r="H160" s="178"/>
      <c r="J160" s="179"/>
    </row>
    <row r="161" ht="15">
      <c r="H161" s="178"/>
    </row>
    <row r="162" spans="8:9" ht="15">
      <c r="H162" s="178"/>
      <c r="I162" s="192"/>
    </row>
    <row r="163" spans="8:9" ht="15">
      <c r="H163" s="178"/>
      <c r="I163" s="192"/>
    </row>
    <row r="164" spans="8:9" ht="15">
      <c r="H164" s="178"/>
      <c r="I164" s="192"/>
    </row>
    <row r="165" spans="8:9" ht="15">
      <c r="H165" s="178"/>
      <c r="I165" s="192"/>
    </row>
    <row r="166" spans="8:9" ht="15">
      <c r="H166" s="178"/>
      <c r="I166" s="192"/>
    </row>
    <row r="167" spans="8:9" ht="15">
      <c r="H167" s="178"/>
      <c r="I167" s="192"/>
    </row>
    <row r="168" ht="15">
      <c r="H168" s="178"/>
    </row>
    <row r="169" ht="15">
      <c r="H169" s="178"/>
    </row>
    <row r="170" ht="15">
      <c r="H170" s="178"/>
    </row>
    <row r="171" ht="15">
      <c r="H171" s="178"/>
    </row>
    <row r="172" ht="15">
      <c r="H172" s="178"/>
    </row>
    <row r="178" spans="8:10" ht="12" customHeight="1">
      <c r="H178" s="188"/>
      <c r="I178" s="192"/>
      <c r="J178" s="179"/>
    </row>
    <row r="179" spans="8:10" ht="12" customHeight="1">
      <c r="H179" s="188"/>
      <c r="I179" s="192"/>
      <c r="J179" s="179"/>
    </row>
    <row r="180" spans="8:10" ht="12" customHeight="1">
      <c r="H180" s="188"/>
      <c r="I180" s="192"/>
      <c r="J180" s="179"/>
    </row>
    <row r="181" spans="8:10" ht="12" customHeight="1">
      <c r="H181" s="188"/>
      <c r="I181" s="192"/>
      <c r="J181" s="179"/>
    </row>
    <row r="182" spans="8:10" ht="9.9" customHeight="1">
      <c r="H182" s="179"/>
      <c r="I182" s="187"/>
      <c r="J182" s="179"/>
    </row>
    <row r="183" spans="8:10" ht="9.9" customHeight="1">
      <c r="H183" s="179"/>
      <c r="I183" s="187"/>
      <c r="J183" s="179"/>
    </row>
    <row r="184" spans="8:10" ht="9.9" customHeight="1">
      <c r="H184" s="179"/>
      <c r="I184" s="187"/>
      <c r="J184" s="179"/>
    </row>
    <row r="185" spans="8:10" ht="9.9" customHeight="1">
      <c r="H185" s="179"/>
      <c r="I185" s="187"/>
      <c r="J185" s="179"/>
    </row>
    <row r="186" spans="8:10" ht="9.9" customHeight="1">
      <c r="H186" s="179"/>
      <c r="I186" s="187"/>
      <c r="J186" s="179"/>
    </row>
    <row r="187" spans="8:10" ht="9.9" customHeight="1">
      <c r="H187" s="179"/>
      <c r="I187" s="187"/>
      <c r="J187" s="179"/>
    </row>
    <row r="188" spans="8:10" ht="9.9" customHeight="1">
      <c r="H188" s="179"/>
      <c r="I188" s="187"/>
      <c r="J188" s="179"/>
    </row>
    <row r="189" spans="8:10" ht="9.9" customHeight="1">
      <c r="H189" s="179"/>
      <c r="I189" s="187"/>
      <c r="J189" s="179"/>
    </row>
    <row r="190" spans="8:10" ht="9.9" customHeight="1">
      <c r="H190" s="179"/>
      <c r="I190" s="187"/>
      <c r="J190" s="179"/>
    </row>
    <row r="191" spans="8:10" ht="9.9" customHeight="1">
      <c r="H191" s="179"/>
      <c r="I191" s="187"/>
      <c r="J191" s="179"/>
    </row>
    <row r="192" spans="8:10" ht="9.9" customHeight="1">
      <c r="H192" s="179"/>
      <c r="I192" s="187"/>
      <c r="J192" s="179"/>
    </row>
    <row r="193" spans="8:10" ht="9.9" customHeight="1">
      <c r="H193" s="179"/>
      <c r="I193" s="187"/>
      <c r="J193" s="179"/>
    </row>
    <row r="194" spans="8:10" ht="9.9" customHeight="1">
      <c r="H194" s="179"/>
      <c r="I194" s="187"/>
      <c r="J194" s="179"/>
    </row>
    <row r="195" ht="15">
      <c r="I195" s="193"/>
    </row>
    <row r="196" ht="15">
      <c r="I196" s="193"/>
    </row>
    <row r="197" ht="15">
      <c r="I197" s="193"/>
    </row>
  </sheetData>
  <sheetProtection sheet="1" objects="1" scenarios="1"/>
  <printOptions/>
  <pageMargins left="0.708333333333333" right="0.708333333333333" top="0.7875" bottom="0.7875" header="0.511805555555555" footer="0.511805555555555"/>
  <pageSetup fitToHeight="99" fitToWidth="1"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9"/>
  <sheetViews>
    <sheetView workbookViewId="0" topLeftCell="A1">
      <selection activeCell="L84" sqref="L84"/>
    </sheetView>
  </sheetViews>
  <sheetFormatPr defaultColWidth="10.00390625" defaultRowHeight="15"/>
  <cols>
    <col min="1" max="2" width="3.7109375" style="177" customWidth="1"/>
    <col min="3" max="3" width="55.7109375" style="177" customWidth="1"/>
    <col min="4" max="4" width="3.7109375" style="177" customWidth="1"/>
    <col min="5" max="5" width="6.7109375" style="177" customWidth="1"/>
    <col min="6" max="6" width="8.7109375" style="178" customWidth="1"/>
    <col min="7" max="7" width="11.57421875" style="178" customWidth="1"/>
    <col min="8" max="256" width="10.00390625" style="177" customWidth="1"/>
    <col min="257" max="258" width="3.7109375" style="177" customWidth="1"/>
    <col min="259" max="259" width="55.7109375" style="177" customWidth="1"/>
    <col min="260" max="260" width="3.7109375" style="177" customWidth="1"/>
    <col min="261" max="261" width="6.7109375" style="177" customWidth="1"/>
    <col min="262" max="262" width="8.7109375" style="177" customWidth="1"/>
    <col min="263" max="263" width="11.57421875" style="177" customWidth="1"/>
    <col min="264" max="512" width="10.00390625" style="177" customWidth="1"/>
    <col min="513" max="514" width="3.7109375" style="177" customWidth="1"/>
    <col min="515" max="515" width="55.7109375" style="177" customWidth="1"/>
    <col min="516" max="516" width="3.7109375" style="177" customWidth="1"/>
    <col min="517" max="517" width="6.7109375" style="177" customWidth="1"/>
    <col min="518" max="518" width="8.7109375" style="177" customWidth="1"/>
    <col min="519" max="519" width="11.57421875" style="177" customWidth="1"/>
    <col min="520" max="768" width="10.00390625" style="177" customWidth="1"/>
    <col min="769" max="770" width="3.7109375" style="177" customWidth="1"/>
    <col min="771" max="771" width="55.7109375" style="177" customWidth="1"/>
    <col min="772" max="772" width="3.7109375" style="177" customWidth="1"/>
    <col min="773" max="773" width="6.7109375" style="177" customWidth="1"/>
    <col min="774" max="774" width="8.7109375" style="177" customWidth="1"/>
    <col min="775" max="775" width="11.57421875" style="177" customWidth="1"/>
    <col min="776" max="1024" width="10.00390625" style="177" customWidth="1"/>
    <col min="1025" max="16384" width="10.00390625" style="83" customWidth="1"/>
  </cols>
  <sheetData>
    <row r="1" spans="1:7" ht="15">
      <c r="A1" s="517"/>
      <c r="B1" s="518"/>
      <c r="C1" s="518" t="s">
        <v>1263</v>
      </c>
      <c r="D1" s="518"/>
      <c r="E1" s="519"/>
      <c r="F1" s="520"/>
      <c r="G1" s="521"/>
    </row>
    <row r="2" spans="1:7" ht="15">
      <c r="A2" s="522"/>
      <c r="B2" s="522"/>
      <c r="C2" s="522"/>
      <c r="D2" s="522"/>
      <c r="E2" s="523"/>
      <c r="F2" s="524"/>
      <c r="G2" s="524"/>
    </row>
    <row r="3" spans="1:10" ht="15">
      <c r="A3" s="525" t="s">
        <v>862</v>
      </c>
      <c r="B3" s="526" t="s">
        <v>863</v>
      </c>
      <c r="C3" s="525" t="s">
        <v>33</v>
      </c>
      <c r="D3" s="526" t="s">
        <v>34</v>
      </c>
      <c r="E3" s="525" t="s">
        <v>865</v>
      </c>
      <c r="F3" s="527" t="s">
        <v>1264</v>
      </c>
      <c r="G3" s="527" t="s">
        <v>15</v>
      </c>
      <c r="H3" s="180"/>
      <c r="I3" s="179"/>
      <c r="J3" s="179"/>
    </row>
    <row r="4" spans="1:10" ht="15">
      <c r="A4" s="528"/>
      <c r="B4" s="529"/>
      <c r="C4" s="530" t="s">
        <v>1265</v>
      </c>
      <c r="D4" s="531"/>
      <c r="E4" s="532"/>
      <c r="F4" s="533"/>
      <c r="G4" s="534"/>
      <c r="H4" s="178"/>
      <c r="I4" s="179"/>
      <c r="J4" s="179"/>
    </row>
    <row r="5" spans="1:10" ht="15">
      <c r="A5" s="523"/>
      <c r="B5" s="535"/>
      <c r="C5" s="523"/>
      <c r="D5" s="523"/>
      <c r="E5" s="523"/>
      <c r="F5" s="524"/>
      <c r="G5" s="524"/>
      <c r="H5" s="178"/>
      <c r="I5" s="179"/>
      <c r="J5" s="179"/>
    </row>
    <row r="6" spans="1:10" s="177" customFormat="1" ht="40.8">
      <c r="A6" s="536" t="s">
        <v>1268</v>
      </c>
      <c r="B6" s="537" t="s">
        <v>853</v>
      </c>
      <c r="C6" s="538" t="s">
        <v>1427</v>
      </c>
      <c r="D6" s="539" t="s">
        <v>1182</v>
      </c>
      <c r="E6" s="540">
        <v>2</v>
      </c>
      <c r="F6" s="685"/>
      <c r="G6" s="541">
        <f aca="true" t="shared" si="0" ref="G6:G20">(E6*F6)</f>
        <v>0</v>
      </c>
      <c r="H6" s="178"/>
      <c r="I6" s="179"/>
      <c r="J6" s="179"/>
    </row>
    <row r="7" spans="1:10" s="177" customFormat="1" ht="30.6">
      <c r="A7" s="536" t="s">
        <v>1275</v>
      </c>
      <c r="B7" s="537" t="s">
        <v>853</v>
      </c>
      <c r="C7" s="538" t="s">
        <v>1428</v>
      </c>
      <c r="D7" s="539" t="s">
        <v>1182</v>
      </c>
      <c r="E7" s="540">
        <v>2</v>
      </c>
      <c r="F7" s="685"/>
      <c r="G7" s="541">
        <f t="shared" si="0"/>
        <v>0</v>
      </c>
      <c r="H7" s="178"/>
      <c r="J7" s="179"/>
    </row>
    <row r="8" spans="1:10" s="177" customFormat="1" ht="30.6">
      <c r="A8" s="536" t="s">
        <v>1278</v>
      </c>
      <c r="B8" s="537" t="s">
        <v>853</v>
      </c>
      <c r="C8" s="538" t="s">
        <v>1279</v>
      </c>
      <c r="D8" s="540" t="s">
        <v>1182</v>
      </c>
      <c r="E8" s="540">
        <v>2</v>
      </c>
      <c r="F8" s="685"/>
      <c r="G8" s="541">
        <f t="shared" si="0"/>
        <v>0</v>
      </c>
      <c r="J8" s="179"/>
    </row>
    <row r="9" spans="1:10" s="177" customFormat="1" ht="20.4">
      <c r="A9" s="536" t="s">
        <v>1280</v>
      </c>
      <c r="B9" s="537" t="s">
        <v>853</v>
      </c>
      <c r="C9" s="538" t="s">
        <v>1281</v>
      </c>
      <c r="D9" s="540" t="s">
        <v>1182</v>
      </c>
      <c r="E9" s="540">
        <v>43</v>
      </c>
      <c r="F9" s="685"/>
      <c r="G9" s="541">
        <f t="shared" si="0"/>
        <v>0</v>
      </c>
      <c r="J9" s="179"/>
    </row>
    <row r="10" spans="1:10" s="177" customFormat="1" ht="12.9" customHeight="1">
      <c r="A10" s="523" t="s">
        <v>1282</v>
      </c>
      <c r="B10" s="535" t="s">
        <v>853</v>
      </c>
      <c r="C10" s="542" t="s">
        <v>1283</v>
      </c>
      <c r="D10" s="543" t="s">
        <v>1182</v>
      </c>
      <c r="E10" s="543">
        <v>2</v>
      </c>
      <c r="F10" s="686"/>
      <c r="G10" s="524">
        <f t="shared" si="0"/>
        <v>0</v>
      </c>
      <c r="J10" s="179"/>
    </row>
    <row r="11" spans="1:10" s="177" customFormat="1" ht="20.4">
      <c r="A11" s="536" t="s">
        <v>1288</v>
      </c>
      <c r="B11" s="537" t="s">
        <v>853</v>
      </c>
      <c r="C11" s="538" t="s">
        <v>1289</v>
      </c>
      <c r="D11" s="540" t="s">
        <v>1182</v>
      </c>
      <c r="E11" s="536">
        <v>6</v>
      </c>
      <c r="F11" s="685"/>
      <c r="G11" s="541">
        <f t="shared" si="0"/>
        <v>0</v>
      </c>
      <c r="J11" s="179"/>
    </row>
    <row r="12" spans="1:10" s="177" customFormat="1" ht="13.2">
      <c r="A12" s="523" t="s">
        <v>1290</v>
      </c>
      <c r="B12" s="535" t="s">
        <v>853</v>
      </c>
      <c r="C12" s="542" t="s">
        <v>1291</v>
      </c>
      <c r="D12" s="543" t="s">
        <v>139</v>
      </c>
      <c r="E12" s="543">
        <v>27</v>
      </c>
      <c r="F12" s="686"/>
      <c r="G12" s="524">
        <f t="shared" si="0"/>
        <v>0</v>
      </c>
      <c r="J12" s="179"/>
    </row>
    <row r="13" spans="1:10" s="177" customFormat="1" ht="13.2">
      <c r="A13" s="523" t="s">
        <v>1292</v>
      </c>
      <c r="B13" s="535" t="s">
        <v>853</v>
      </c>
      <c r="C13" s="544" t="s">
        <v>1293</v>
      </c>
      <c r="D13" s="543" t="s">
        <v>139</v>
      </c>
      <c r="E13" s="543">
        <v>12</v>
      </c>
      <c r="F13" s="686"/>
      <c r="G13" s="524">
        <f t="shared" si="0"/>
        <v>0</v>
      </c>
      <c r="J13" s="179"/>
    </row>
    <row r="14" spans="1:10" s="177" customFormat="1" ht="13.2">
      <c r="A14" s="523" t="s">
        <v>1294</v>
      </c>
      <c r="B14" s="535" t="s">
        <v>853</v>
      </c>
      <c r="C14" s="544" t="s">
        <v>1295</v>
      </c>
      <c r="D14" s="543" t="s">
        <v>1182</v>
      </c>
      <c r="E14" s="523">
        <v>2</v>
      </c>
      <c r="F14" s="686"/>
      <c r="G14" s="524">
        <f t="shared" si="0"/>
        <v>0</v>
      </c>
      <c r="J14" s="179"/>
    </row>
    <row r="15" spans="1:10" s="177" customFormat="1" ht="13.2">
      <c r="A15" s="523" t="s">
        <v>1296</v>
      </c>
      <c r="B15" s="535" t="s">
        <v>853</v>
      </c>
      <c r="C15" s="544" t="s">
        <v>1297</v>
      </c>
      <c r="D15" s="545" t="s">
        <v>1182</v>
      </c>
      <c r="E15" s="523">
        <v>2</v>
      </c>
      <c r="F15" s="686"/>
      <c r="G15" s="524">
        <f t="shared" si="0"/>
        <v>0</v>
      </c>
      <c r="J15" s="179"/>
    </row>
    <row r="16" spans="1:10" s="177" customFormat="1" ht="20.4">
      <c r="A16" s="536" t="s">
        <v>1298</v>
      </c>
      <c r="B16" s="537" t="s">
        <v>853</v>
      </c>
      <c r="C16" s="546" t="s">
        <v>1299</v>
      </c>
      <c r="D16" s="540" t="s">
        <v>1182</v>
      </c>
      <c r="E16" s="536">
        <v>1</v>
      </c>
      <c r="F16" s="685"/>
      <c r="G16" s="541">
        <f t="shared" si="0"/>
        <v>0</v>
      </c>
      <c r="J16" s="179"/>
    </row>
    <row r="17" spans="1:10" s="177" customFormat="1" ht="13.2">
      <c r="A17" s="523" t="s">
        <v>1300</v>
      </c>
      <c r="B17" s="535" t="s">
        <v>853</v>
      </c>
      <c r="C17" s="523" t="s">
        <v>1301</v>
      </c>
      <c r="D17" s="543" t="s">
        <v>1182</v>
      </c>
      <c r="E17" s="523">
        <v>1</v>
      </c>
      <c r="F17" s="686"/>
      <c r="G17" s="524">
        <f t="shared" si="0"/>
        <v>0</v>
      </c>
      <c r="J17" s="179"/>
    </row>
    <row r="18" spans="1:10" s="177" customFormat="1" ht="20.4">
      <c r="A18" s="536" t="s">
        <v>1302</v>
      </c>
      <c r="B18" s="537" t="s">
        <v>853</v>
      </c>
      <c r="C18" s="546" t="s">
        <v>1303</v>
      </c>
      <c r="D18" s="540" t="s">
        <v>139</v>
      </c>
      <c r="E18" s="536">
        <v>25</v>
      </c>
      <c r="F18" s="685"/>
      <c r="G18" s="541">
        <f t="shared" si="0"/>
        <v>0</v>
      </c>
      <c r="J18" s="179"/>
    </row>
    <row r="19" spans="1:7" s="177" customFormat="1" ht="13.2">
      <c r="A19" s="523" t="s">
        <v>1304</v>
      </c>
      <c r="B19" s="535" t="s">
        <v>853</v>
      </c>
      <c r="C19" s="542" t="s">
        <v>1305</v>
      </c>
      <c r="D19" s="543" t="s">
        <v>139</v>
      </c>
      <c r="E19" s="523">
        <v>18</v>
      </c>
      <c r="F19" s="686"/>
      <c r="G19" s="524">
        <f t="shared" si="0"/>
        <v>0</v>
      </c>
    </row>
    <row r="20" spans="1:7" s="177" customFormat="1" ht="13.2">
      <c r="A20" s="523" t="s">
        <v>1306</v>
      </c>
      <c r="B20" s="535" t="s">
        <v>853</v>
      </c>
      <c r="C20" s="542" t="s">
        <v>1307</v>
      </c>
      <c r="D20" s="543" t="s">
        <v>1182</v>
      </c>
      <c r="E20" s="523">
        <v>72</v>
      </c>
      <c r="F20" s="686"/>
      <c r="G20" s="524">
        <f t="shared" si="0"/>
        <v>0</v>
      </c>
    </row>
    <row r="21" spans="1:7" s="177" customFormat="1" ht="13.2">
      <c r="A21" s="523" t="s">
        <v>1308</v>
      </c>
      <c r="B21" s="535" t="s">
        <v>853</v>
      </c>
      <c r="C21" s="542" t="s">
        <v>1309</v>
      </c>
      <c r="D21" s="543" t="s">
        <v>139</v>
      </c>
      <c r="E21" s="523">
        <v>4</v>
      </c>
      <c r="F21" s="686"/>
      <c r="G21" s="524">
        <f>E21*F21</f>
        <v>0</v>
      </c>
    </row>
    <row r="22" spans="1:7" s="177" customFormat="1" ht="13.2">
      <c r="A22" s="547"/>
      <c r="B22" s="547"/>
      <c r="C22" s="547"/>
      <c r="D22" s="547"/>
      <c r="E22" s="547"/>
      <c r="F22" s="548"/>
      <c r="G22" s="548"/>
    </row>
    <row r="23" spans="1:7" s="177" customFormat="1" ht="13.2">
      <c r="A23" s="549"/>
      <c r="B23" s="549"/>
      <c r="C23" s="549"/>
      <c r="D23" s="549"/>
      <c r="E23" s="549"/>
      <c r="F23" s="550"/>
      <c r="G23" s="551">
        <f>SUM(G6:G22)</f>
        <v>0</v>
      </c>
    </row>
    <row r="24" spans="1:7" s="177" customFormat="1" ht="13.2">
      <c r="A24" s="549"/>
      <c r="B24" s="549"/>
      <c r="C24" s="549"/>
      <c r="D24" s="549"/>
      <c r="E24" s="549"/>
      <c r="F24" s="550"/>
      <c r="G24" s="550"/>
    </row>
    <row r="25" spans="1:8" s="177" customFormat="1" ht="13.2">
      <c r="A25" s="552"/>
      <c r="B25" s="553"/>
      <c r="C25" s="530" t="s">
        <v>1310</v>
      </c>
      <c r="D25" s="530"/>
      <c r="E25" s="553"/>
      <c r="F25" s="554"/>
      <c r="G25" s="555"/>
      <c r="H25" s="178"/>
    </row>
    <row r="26" spans="1:8" s="177" customFormat="1" ht="13.2">
      <c r="A26" s="556"/>
      <c r="B26" s="556"/>
      <c r="C26" s="556"/>
      <c r="D26" s="556"/>
      <c r="E26" s="556"/>
      <c r="F26" s="557"/>
      <c r="G26" s="557"/>
      <c r="H26" s="178"/>
    </row>
    <row r="27" spans="1:10" s="177" customFormat="1" ht="13.2">
      <c r="A27" s="556" t="s">
        <v>1266</v>
      </c>
      <c r="B27" s="556"/>
      <c r="C27" s="549" t="s">
        <v>1311</v>
      </c>
      <c r="D27" s="556"/>
      <c r="E27" s="556"/>
      <c r="F27" s="557"/>
      <c r="G27" s="551">
        <f>(G23)*3%</f>
        <v>0</v>
      </c>
      <c r="H27" s="178"/>
      <c r="J27" s="179"/>
    </row>
    <row r="28" spans="1:10" s="177" customFormat="1" ht="13.2">
      <c r="A28" s="549"/>
      <c r="B28" s="549"/>
      <c r="C28" s="549"/>
      <c r="D28" s="549"/>
      <c r="E28" s="549"/>
      <c r="F28" s="550"/>
      <c r="G28" s="550"/>
      <c r="H28" s="178"/>
      <c r="J28" s="179"/>
    </row>
    <row r="29" spans="1:10" s="177" customFormat="1" ht="13.2">
      <c r="A29" s="558"/>
      <c r="B29" s="559"/>
      <c r="C29" s="559"/>
      <c r="D29" s="559"/>
      <c r="E29" s="559"/>
      <c r="F29" s="560"/>
      <c r="G29" s="561"/>
      <c r="H29" s="178"/>
      <c r="J29" s="179"/>
    </row>
    <row r="30" spans="1:10" s="177" customFormat="1" ht="13.2">
      <c r="A30" s="562"/>
      <c r="B30" s="563"/>
      <c r="C30" s="563" t="s">
        <v>1312</v>
      </c>
      <c r="D30" s="563"/>
      <c r="E30" s="563"/>
      <c r="F30" s="564"/>
      <c r="G30" s="565">
        <f>G27+G23</f>
        <v>0</v>
      </c>
      <c r="H30" s="178"/>
      <c r="J30" s="179"/>
    </row>
    <row r="31" spans="1:10" s="177" customFormat="1" ht="13.2">
      <c r="A31" s="566"/>
      <c r="B31" s="567"/>
      <c r="C31" s="567"/>
      <c r="D31" s="567"/>
      <c r="E31" s="567"/>
      <c r="F31" s="568"/>
      <c r="G31" s="569"/>
      <c r="H31" s="178"/>
      <c r="J31" s="179"/>
    </row>
    <row r="32" spans="1:10" s="177" customFormat="1" ht="13.2">
      <c r="A32" s="547"/>
      <c r="B32" s="547"/>
      <c r="C32" s="547"/>
      <c r="D32" s="547"/>
      <c r="E32" s="547"/>
      <c r="F32" s="548"/>
      <c r="G32" s="548"/>
      <c r="J32" s="179"/>
    </row>
    <row r="33" spans="1:10" s="177" customFormat="1" ht="13.2">
      <c r="A33" s="547"/>
      <c r="B33" s="547"/>
      <c r="C33" s="547"/>
      <c r="D33" s="547"/>
      <c r="E33" s="547"/>
      <c r="F33" s="548"/>
      <c r="G33" s="548"/>
      <c r="J33" s="179"/>
    </row>
    <row r="34" spans="1:10" s="177" customFormat="1" ht="13.2">
      <c r="A34" s="547"/>
      <c r="B34" s="547"/>
      <c r="C34" s="547"/>
      <c r="D34" s="547"/>
      <c r="E34" s="547"/>
      <c r="F34" s="548"/>
      <c r="G34" s="548"/>
      <c r="J34" s="179"/>
    </row>
    <row r="35" spans="1:7" s="181" customFormat="1" ht="13.2">
      <c r="A35" s="570"/>
      <c r="B35" s="571"/>
      <c r="C35" s="571" t="s">
        <v>1313</v>
      </c>
      <c r="D35" s="571"/>
      <c r="E35" s="572"/>
      <c r="F35" s="573"/>
      <c r="G35" s="574"/>
    </row>
    <row r="36" spans="1:9" s="181" customFormat="1" ht="9.9" customHeight="1">
      <c r="A36" s="575"/>
      <c r="B36" s="575"/>
      <c r="C36" s="575"/>
      <c r="D36" s="575"/>
      <c r="E36" s="575"/>
      <c r="F36" s="576"/>
      <c r="G36" s="576"/>
      <c r="H36" s="184"/>
      <c r="I36" s="184"/>
    </row>
    <row r="37" spans="1:9" s="181" customFormat="1" ht="13.2">
      <c r="A37" s="577" t="s">
        <v>862</v>
      </c>
      <c r="B37" s="578" t="s">
        <v>863</v>
      </c>
      <c r="C37" s="577" t="s">
        <v>33</v>
      </c>
      <c r="D37" s="577" t="s">
        <v>34</v>
      </c>
      <c r="E37" s="577" t="s">
        <v>865</v>
      </c>
      <c r="F37" s="579" t="s">
        <v>1264</v>
      </c>
      <c r="G37" s="579" t="s">
        <v>15</v>
      </c>
      <c r="H37" s="184"/>
      <c r="I37" s="184"/>
    </row>
    <row r="38" spans="1:10" s="181" customFormat="1" ht="13.2">
      <c r="A38" s="580"/>
      <c r="B38" s="581"/>
      <c r="C38" s="582" t="s">
        <v>1314</v>
      </c>
      <c r="D38" s="582"/>
      <c r="E38" s="582"/>
      <c r="F38" s="583"/>
      <c r="G38" s="584"/>
      <c r="H38" s="184"/>
      <c r="I38" s="184"/>
      <c r="J38" s="184"/>
    </row>
    <row r="39" spans="1:10" s="181" customFormat="1" ht="9.9" customHeight="1">
      <c r="A39" s="575"/>
      <c r="B39" s="585"/>
      <c r="C39" s="575"/>
      <c r="D39" s="575"/>
      <c r="E39" s="575"/>
      <c r="F39" s="576"/>
      <c r="G39" s="576"/>
      <c r="H39" s="185"/>
      <c r="J39" s="184"/>
    </row>
    <row r="40" spans="1:10" s="181" customFormat="1" ht="51">
      <c r="A40" s="586" t="s">
        <v>1268</v>
      </c>
      <c r="B40" s="587" t="s">
        <v>882</v>
      </c>
      <c r="C40" s="588" t="s">
        <v>1429</v>
      </c>
      <c r="D40" s="589" t="s">
        <v>1182</v>
      </c>
      <c r="E40" s="590">
        <v>2</v>
      </c>
      <c r="F40" s="687"/>
      <c r="G40" s="591">
        <f aca="true" t="shared" si="1" ref="G40:G41">(E40*F40)</f>
        <v>0</v>
      </c>
      <c r="H40" s="185"/>
      <c r="J40" s="184"/>
    </row>
    <row r="41" spans="1:10" s="181" customFormat="1" ht="35.1" customHeight="1">
      <c r="A41" s="586" t="s">
        <v>1275</v>
      </c>
      <c r="B41" s="587" t="s">
        <v>882</v>
      </c>
      <c r="C41" s="588" t="s">
        <v>1430</v>
      </c>
      <c r="D41" s="589" t="s">
        <v>1182</v>
      </c>
      <c r="E41" s="590">
        <v>2</v>
      </c>
      <c r="F41" s="687"/>
      <c r="G41" s="591">
        <f t="shared" si="1"/>
        <v>0</v>
      </c>
      <c r="J41" s="184"/>
    </row>
    <row r="42" spans="1:10" s="181" customFormat="1" ht="24.9" customHeight="1">
      <c r="A42" s="586" t="s">
        <v>1278</v>
      </c>
      <c r="B42" s="587" t="s">
        <v>882</v>
      </c>
      <c r="C42" s="588" t="s">
        <v>1279</v>
      </c>
      <c r="D42" s="590" t="s">
        <v>1182</v>
      </c>
      <c r="E42" s="590">
        <v>2</v>
      </c>
      <c r="F42" s="687"/>
      <c r="G42" s="592">
        <f>E42*F42</f>
        <v>0</v>
      </c>
      <c r="H42" s="185"/>
      <c r="I42" s="184"/>
      <c r="J42" s="184"/>
    </row>
    <row r="43" spans="1:10" s="181" customFormat="1" ht="13.2">
      <c r="A43" s="575" t="s">
        <v>1280</v>
      </c>
      <c r="B43" s="585" t="s">
        <v>882</v>
      </c>
      <c r="C43" s="575" t="s">
        <v>1320</v>
      </c>
      <c r="D43" s="593" t="s">
        <v>1182</v>
      </c>
      <c r="E43" s="594">
        <v>2</v>
      </c>
      <c r="F43" s="183"/>
      <c r="G43" s="576">
        <f>(E43*F43)</f>
        <v>0</v>
      </c>
      <c r="H43" s="185"/>
      <c r="I43" s="184"/>
      <c r="J43" s="184"/>
    </row>
    <row r="44" spans="1:10" s="181" customFormat="1" ht="13.2">
      <c r="A44" s="575" t="s">
        <v>1282</v>
      </c>
      <c r="B44" s="585" t="s">
        <v>882</v>
      </c>
      <c r="C44" s="575" t="s">
        <v>1321</v>
      </c>
      <c r="D44" s="594" t="s">
        <v>1182</v>
      </c>
      <c r="E44" s="594">
        <v>6</v>
      </c>
      <c r="F44" s="183"/>
      <c r="G44" s="576">
        <f>(E44*F44)</f>
        <v>0</v>
      </c>
      <c r="H44" s="185"/>
      <c r="I44" s="184"/>
      <c r="J44" s="184"/>
    </row>
    <row r="45" spans="1:10" s="181" customFormat="1" ht="13.2">
      <c r="A45" s="575" t="s">
        <v>1284</v>
      </c>
      <c r="B45" s="585" t="s">
        <v>882</v>
      </c>
      <c r="C45" s="575" t="s">
        <v>1322</v>
      </c>
      <c r="D45" s="594" t="s">
        <v>139</v>
      </c>
      <c r="E45" s="594">
        <v>27</v>
      </c>
      <c r="F45" s="183"/>
      <c r="G45" s="576">
        <f>(E45*F45)</f>
        <v>0</v>
      </c>
      <c r="H45" s="183"/>
      <c r="I45" s="184"/>
      <c r="J45" s="184"/>
    </row>
    <row r="46" spans="1:10" s="181" customFormat="1" ht="13.2">
      <c r="A46" s="575" t="s">
        <v>1286</v>
      </c>
      <c r="B46" s="585" t="s">
        <v>882</v>
      </c>
      <c r="C46" s="575" t="s">
        <v>1323</v>
      </c>
      <c r="D46" s="594" t="s">
        <v>139</v>
      </c>
      <c r="E46" s="594">
        <v>12</v>
      </c>
      <c r="F46" s="183"/>
      <c r="G46" s="576">
        <f>(E46*F46)</f>
        <v>0</v>
      </c>
      <c r="J46" s="184"/>
    </row>
    <row r="47" spans="1:10" s="181" customFormat="1" ht="13.2">
      <c r="A47" s="575" t="s">
        <v>1288</v>
      </c>
      <c r="B47" s="585" t="s">
        <v>882</v>
      </c>
      <c r="C47" s="575" t="s">
        <v>1324</v>
      </c>
      <c r="D47" s="594" t="s">
        <v>1182</v>
      </c>
      <c r="E47" s="575">
        <v>4</v>
      </c>
      <c r="F47" s="183"/>
      <c r="G47" s="576">
        <f>(E47*F47)</f>
        <v>0</v>
      </c>
      <c r="J47" s="184"/>
    </row>
    <row r="48" spans="1:10" s="181" customFormat="1" ht="20.4">
      <c r="A48" s="586" t="s">
        <v>1290</v>
      </c>
      <c r="B48" s="587" t="s">
        <v>882</v>
      </c>
      <c r="C48" s="595" t="s">
        <v>1325</v>
      </c>
      <c r="D48" s="589" t="s">
        <v>1182</v>
      </c>
      <c r="E48" s="595">
        <v>1</v>
      </c>
      <c r="F48" s="688"/>
      <c r="G48" s="596">
        <f>E48*F48</f>
        <v>0</v>
      </c>
      <c r="J48" s="184"/>
    </row>
    <row r="49" spans="1:10" s="181" customFormat="1" ht="12.9" customHeight="1">
      <c r="A49" s="575" t="s">
        <v>1292</v>
      </c>
      <c r="B49" s="585" t="s">
        <v>882</v>
      </c>
      <c r="C49" s="597" t="s">
        <v>1326</v>
      </c>
      <c r="D49" s="593" t="s">
        <v>1182</v>
      </c>
      <c r="E49" s="597">
        <v>1</v>
      </c>
      <c r="F49" s="689"/>
      <c r="G49" s="598">
        <f>E49*F49</f>
        <v>0</v>
      </c>
      <c r="J49" s="184"/>
    </row>
    <row r="50" spans="1:10" s="181" customFormat="1" ht="13.2">
      <c r="A50" s="575" t="s">
        <v>1294</v>
      </c>
      <c r="B50" s="585" t="s">
        <v>882</v>
      </c>
      <c r="C50" s="575" t="s">
        <v>1327</v>
      </c>
      <c r="D50" s="594" t="s">
        <v>139</v>
      </c>
      <c r="E50" s="575">
        <v>25</v>
      </c>
      <c r="F50" s="183"/>
      <c r="G50" s="576">
        <f>(E50*F50)</f>
        <v>0</v>
      </c>
      <c r="J50" s="184"/>
    </row>
    <row r="51" spans="1:10" s="181" customFormat="1" ht="13.2">
      <c r="A51" s="575" t="s">
        <v>1296</v>
      </c>
      <c r="B51" s="585" t="s">
        <v>882</v>
      </c>
      <c r="C51" s="575" t="s">
        <v>1328</v>
      </c>
      <c r="D51" s="594" t="s">
        <v>139</v>
      </c>
      <c r="E51" s="575">
        <v>18</v>
      </c>
      <c r="F51" s="183"/>
      <c r="G51" s="576">
        <f>(E51*F51)</f>
        <v>0</v>
      </c>
      <c r="J51" s="184"/>
    </row>
    <row r="52" spans="1:10" s="181" customFormat="1" ht="13.2">
      <c r="A52" s="575" t="s">
        <v>1298</v>
      </c>
      <c r="B52" s="585" t="s">
        <v>882</v>
      </c>
      <c r="C52" s="575" t="s">
        <v>1329</v>
      </c>
      <c r="D52" s="594" t="s">
        <v>1182</v>
      </c>
      <c r="E52" s="575">
        <v>72</v>
      </c>
      <c r="F52" s="183"/>
      <c r="G52" s="576">
        <f>(E52*F52)</f>
        <v>0</v>
      </c>
      <c r="J52" s="184"/>
    </row>
    <row r="53" spans="1:10" s="181" customFormat="1" ht="13.2">
      <c r="A53" s="575" t="s">
        <v>1300</v>
      </c>
      <c r="B53" s="585" t="s">
        <v>882</v>
      </c>
      <c r="C53" s="575" t="s">
        <v>1330</v>
      </c>
      <c r="D53" s="593" t="s">
        <v>139</v>
      </c>
      <c r="E53" s="594">
        <v>4</v>
      </c>
      <c r="F53" s="183"/>
      <c r="G53" s="576">
        <f>(E53*F53)</f>
        <v>0</v>
      </c>
      <c r="J53" s="184"/>
    </row>
    <row r="54" spans="1:10" s="181" customFormat="1" ht="13.2">
      <c r="A54" s="575" t="s">
        <v>1302</v>
      </c>
      <c r="B54" s="585" t="s">
        <v>882</v>
      </c>
      <c r="C54" s="597" t="s">
        <v>1331</v>
      </c>
      <c r="D54" s="594" t="s">
        <v>139</v>
      </c>
      <c r="E54" s="575">
        <v>4</v>
      </c>
      <c r="F54" s="183"/>
      <c r="G54" s="576">
        <f>E54*F54</f>
        <v>0</v>
      </c>
      <c r="J54" s="184"/>
    </row>
    <row r="55" spans="1:10" s="181" customFormat="1" ht="13.2">
      <c r="A55" s="586"/>
      <c r="B55" s="587"/>
      <c r="C55" s="599"/>
      <c r="D55" s="599"/>
      <c r="E55" s="599"/>
      <c r="F55" s="600"/>
      <c r="G55" s="600"/>
      <c r="J55" s="184"/>
    </row>
    <row r="56" spans="1:10" s="181" customFormat="1" ht="13.2">
      <c r="A56" s="575"/>
      <c r="B56" s="585"/>
      <c r="C56" s="599"/>
      <c r="D56" s="599"/>
      <c r="E56" s="599"/>
      <c r="F56" s="600"/>
      <c r="G56" s="601">
        <f>SUM(G40:G55)</f>
        <v>0</v>
      </c>
      <c r="J56" s="184"/>
    </row>
    <row r="57" spans="1:10" s="181" customFormat="1" ht="13.2">
      <c r="A57" s="575"/>
      <c r="B57" s="599"/>
      <c r="C57" s="599"/>
      <c r="D57" s="599"/>
      <c r="E57" s="599"/>
      <c r="F57" s="600"/>
      <c r="G57" s="600"/>
      <c r="J57" s="182"/>
    </row>
    <row r="58" spans="1:10" s="181" customFormat="1" ht="13.2">
      <c r="A58" s="602"/>
      <c r="B58" s="603"/>
      <c r="C58" s="603" t="s">
        <v>1332</v>
      </c>
      <c r="D58" s="603"/>
      <c r="E58" s="603"/>
      <c r="F58" s="604"/>
      <c r="G58" s="605"/>
      <c r="J58" s="182"/>
    </row>
    <row r="59" spans="1:10" s="181" customFormat="1" ht="13.2">
      <c r="A59" s="575"/>
      <c r="B59" s="575"/>
      <c r="C59" s="599"/>
      <c r="D59" s="599"/>
      <c r="E59" s="599"/>
      <c r="F59" s="600"/>
      <c r="G59" s="600"/>
      <c r="H59" s="185"/>
      <c r="J59" s="182"/>
    </row>
    <row r="60" spans="1:10" s="181" customFormat="1" ht="13.2">
      <c r="A60" s="575" t="s">
        <v>1266</v>
      </c>
      <c r="B60" s="585" t="s">
        <v>882</v>
      </c>
      <c r="C60" s="575" t="s">
        <v>1333</v>
      </c>
      <c r="D60" s="594" t="s">
        <v>139</v>
      </c>
      <c r="E60" s="575">
        <v>48</v>
      </c>
      <c r="F60" s="183"/>
      <c r="G60" s="576">
        <f aca="true" t="shared" si="2" ref="G60:G68">E60*F60</f>
        <v>0</v>
      </c>
      <c r="H60" s="185"/>
      <c r="J60" s="182"/>
    </row>
    <row r="61" spans="1:10" s="181" customFormat="1" ht="13.2">
      <c r="A61" s="575" t="s">
        <v>1268</v>
      </c>
      <c r="B61" s="585" t="s">
        <v>882</v>
      </c>
      <c r="C61" s="575" t="s">
        <v>1334</v>
      </c>
      <c r="D61" s="594" t="s">
        <v>139</v>
      </c>
      <c r="E61" s="575">
        <v>28</v>
      </c>
      <c r="F61" s="183"/>
      <c r="G61" s="576">
        <f t="shared" si="2"/>
        <v>0</v>
      </c>
      <c r="H61" s="186"/>
      <c r="J61" s="182"/>
    </row>
    <row r="62" spans="1:10" s="181" customFormat="1" ht="13.2">
      <c r="A62" s="575" t="s">
        <v>1269</v>
      </c>
      <c r="B62" s="585" t="s">
        <v>882</v>
      </c>
      <c r="C62" s="575" t="s">
        <v>1335</v>
      </c>
      <c r="D62" s="594" t="s">
        <v>1182</v>
      </c>
      <c r="E62" s="575">
        <v>4</v>
      </c>
      <c r="F62" s="183"/>
      <c r="G62" s="576">
        <f t="shared" si="2"/>
        <v>0</v>
      </c>
      <c r="J62" s="182"/>
    </row>
    <row r="63" spans="1:10" s="181" customFormat="1" ht="13.2">
      <c r="A63" s="575" t="s">
        <v>1271</v>
      </c>
      <c r="B63" s="585" t="s">
        <v>882</v>
      </c>
      <c r="C63" s="597" t="s">
        <v>1336</v>
      </c>
      <c r="D63" s="606" t="s">
        <v>1182</v>
      </c>
      <c r="E63" s="597">
        <v>1</v>
      </c>
      <c r="F63" s="689"/>
      <c r="G63" s="576">
        <f t="shared" si="2"/>
        <v>0</v>
      </c>
      <c r="J63" s="182"/>
    </row>
    <row r="64" spans="1:10" s="181" customFormat="1" ht="13.2">
      <c r="A64" s="575" t="s">
        <v>1273</v>
      </c>
      <c r="B64" s="585" t="s">
        <v>882</v>
      </c>
      <c r="C64" s="597" t="s">
        <v>1337</v>
      </c>
      <c r="D64" s="606" t="s">
        <v>1182</v>
      </c>
      <c r="E64" s="597">
        <v>1</v>
      </c>
      <c r="F64" s="689"/>
      <c r="G64" s="576">
        <f t="shared" si="2"/>
        <v>0</v>
      </c>
      <c r="H64" s="185"/>
      <c r="J64" s="182"/>
    </row>
    <row r="65" spans="1:10" s="181" customFormat="1" ht="13.2">
      <c r="A65" s="575" t="s">
        <v>1275</v>
      </c>
      <c r="B65" s="585" t="s">
        <v>882</v>
      </c>
      <c r="C65" s="597" t="s">
        <v>1338</v>
      </c>
      <c r="D65" s="606" t="s">
        <v>1182</v>
      </c>
      <c r="E65" s="575">
        <v>2</v>
      </c>
      <c r="F65" s="183"/>
      <c r="G65" s="576">
        <f t="shared" si="2"/>
        <v>0</v>
      </c>
      <c r="H65" s="185"/>
      <c r="J65" s="182"/>
    </row>
    <row r="66" spans="1:10" s="181" customFormat="1" ht="13.2">
      <c r="A66" s="575" t="s">
        <v>1276</v>
      </c>
      <c r="B66" s="585" t="s">
        <v>882</v>
      </c>
      <c r="C66" s="575" t="s">
        <v>1339</v>
      </c>
      <c r="D66" s="594" t="s">
        <v>66</v>
      </c>
      <c r="E66" s="594">
        <v>0.3</v>
      </c>
      <c r="F66" s="183"/>
      <c r="G66" s="576">
        <f t="shared" si="2"/>
        <v>0</v>
      </c>
      <c r="J66" s="182"/>
    </row>
    <row r="67" spans="1:10" s="181" customFormat="1" ht="20.4">
      <c r="A67" s="586" t="s">
        <v>1278</v>
      </c>
      <c r="B67" s="587" t="s">
        <v>882</v>
      </c>
      <c r="C67" s="595" t="s">
        <v>1340</v>
      </c>
      <c r="D67" s="607" t="s">
        <v>48</v>
      </c>
      <c r="E67" s="608">
        <v>17</v>
      </c>
      <c r="F67" s="690"/>
      <c r="G67" s="591">
        <f t="shared" si="2"/>
        <v>0</v>
      </c>
      <c r="J67" s="182"/>
    </row>
    <row r="68" spans="1:10" s="181" customFormat="1" ht="30.6">
      <c r="A68" s="586" t="s">
        <v>1280</v>
      </c>
      <c r="B68" s="587" t="s">
        <v>882</v>
      </c>
      <c r="C68" s="595" t="s">
        <v>1341</v>
      </c>
      <c r="D68" s="607" t="s">
        <v>48</v>
      </c>
      <c r="E68" s="608">
        <v>17</v>
      </c>
      <c r="F68" s="690"/>
      <c r="G68" s="591">
        <f t="shared" si="2"/>
        <v>0</v>
      </c>
      <c r="J68" s="182"/>
    </row>
    <row r="69" spans="1:10" s="181" customFormat="1" ht="13.2">
      <c r="A69" s="575"/>
      <c r="B69" s="585"/>
      <c r="C69" s="599"/>
      <c r="D69" s="599"/>
      <c r="E69" s="599"/>
      <c r="F69" s="600"/>
      <c r="G69" s="600"/>
      <c r="J69" s="182"/>
    </row>
    <row r="70" spans="1:10" s="181" customFormat="1" ht="13.2">
      <c r="A70" s="599"/>
      <c r="B70" s="599"/>
      <c r="C70" s="575"/>
      <c r="D70" s="594"/>
      <c r="E70" s="575"/>
      <c r="F70" s="576"/>
      <c r="G70" s="601">
        <f>SUM(G60:G69)</f>
        <v>0</v>
      </c>
      <c r="H70" s="185"/>
      <c r="J70" s="184"/>
    </row>
    <row r="71" spans="1:10" s="181" customFormat="1" ht="13.2">
      <c r="A71" s="599"/>
      <c r="B71" s="599"/>
      <c r="C71" s="599"/>
      <c r="D71" s="599"/>
      <c r="E71" s="599"/>
      <c r="F71" s="600"/>
      <c r="G71" s="600"/>
      <c r="J71" s="184"/>
    </row>
    <row r="72" spans="1:10" s="181" customFormat="1" ht="13.2">
      <c r="A72" s="602"/>
      <c r="B72" s="603"/>
      <c r="C72" s="603" t="s">
        <v>1342</v>
      </c>
      <c r="D72" s="603"/>
      <c r="E72" s="603"/>
      <c r="F72" s="604"/>
      <c r="G72" s="605"/>
      <c r="H72" s="185"/>
      <c r="J72" s="184"/>
    </row>
    <row r="73" spans="1:10" s="181" customFormat="1" ht="13.2">
      <c r="A73" s="575"/>
      <c r="B73" s="575"/>
      <c r="C73" s="575"/>
      <c r="D73" s="575"/>
      <c r="E73" s="575"/>
      <c r="F73" s="576"/>
      <c r="G73" s="576"/>
      <c r="H73" s="185"/>
      <c r="J73" s="184"/>
    </row>
    <row r="74" spans="1:10" s="181" customFormat="1" ht="13.2">
      <c r="A74" s="575" t="s">
        <v>1266</v>
      </c>
      <c r="B74" s="585" t="s">
        <v>882</v>
      </c>
      <c r="C74" s="575" t="s">
        <v>1343</v>
      </c>
      <c r="D74" s="594" t="s">
        <v>1344</v>
      </c>
      <c r="E74" s="594">
        <v>3</v>
      </c>
      <c r="F74" s="691"/>
      <c r="G74" s="609">
        <f aca="true" t="shared" si="3" ref="G74:G81">E74*F74</f>
        <v>0</v>
      </c>
      <c r="H74" s="185"/>
      <c r="J74" s="184"/>
    </row>
    <row r="75" spans="1:10" s="181" customFormat="1" ht="13.2">
      <c r="A75" s="575" t="s">
        <v>1268</v>
      </c>
      <c r="B75" s="585" t="s">
        <v>882</v>
      </c>
      <c r="C75" s="597" t="s">
        <v>1345</v>
      </c>
      <c r="D75" s="593" t="s">
        <v>1344</v>
      </c>
      <c r="E75" s="593">
        <v>3</v>
      </c>
      <c r="F75" s="692"/>
      <c r="G75" s="609">
        <f t="shared" si="3"/>
        <v>0</v>
      </c>
      <c r="H75" s="185"/>
      <c r="J75" s="184"/>
    </row>
    <row r="76" spans="1:10" s="181" customFormat="1" ht="13.2">
      <c r="A76" s="575" t="s">
        <v>1269</v>
      </c>
      <c r="B76" s="585" t="s">
        <v>882</v>
      </c>
      <c r="C76" s="597" t="s">
        <v>1346</v>
      </c>
      <c r="D76" s="593" t="s">
        <v>1344</v>
      </c>
      <c r="E76" s="594">
        <v>10</v>
      </c>
      <c r="F76" s="691"/>
      <c r="G76" s="609">
        <f t="shared" si="3"/>
        <v>0</v>
      </c>
      <c r="H76" s="185"/>
      <c r="J76" s="184"/>
    </row>
    <row r="77" spans="1:10" s="181" customFormat="1" ht="13.2">
      <c r="A77" s="575" t="s">
        <v>1271</v>
      </c>
      <c r="B77" s="585" t="s">
        <v>882</v>
      </c>
      <c r="C77" s="575" t="s">
        <v>1347</v>
      </c>
      <c r="D77" s="594" t="s">
        <v>1344</v>
      </c>
      <c r="E77" s="594">
        <v>6</v>
      </c>
      <c r="F77" s="691"/>
      <c r="G77" s="609">
        <f t="shared" si="3"/>
        <v>0</v>
      </c>
      <c r="H77" s="185"/>
      <c r="J77" s="184"/>
    </row>
    <row r="78" spans="1:10" s="181" customFormat="1" ht="13.2">
      <c r="A78" s="575" t="s">
        <v>1273</v>
      </c>
      <c r="B78" s="585" t="s">
        <v>882</v>
      </c>
      <c r="C78" s="575" t="s">
        <v>1348</v>
      </c>
      <c r="D78" s="594" t="s">
        <v>1344</v>
      </c>
      <c r="E78" s="594">
        <v>1</v>
      </c>
      <c r="F78" s="691"/>
      <c r="G78" s="609">
        <f t="shared" si="3"/>
        <v>0</v>
      </c>
      <c r="H78" s="185"/>
      <c r="J78" s="184"/>
    </row>
    <row r="79" spans="1:10" s="181" customFormat="1" ht="13.2">
      <c r="A79" s="575" t="s">
        <v>1275</v>
      </c>
      <c r="B79" s="585" t="s">
        <v>882</v>
      </c>
      <c r="C79" s="575" t="s">
        <v>1349</v>
      </c>
      <c r="D79" s="594" t="s">
        <v>1344</v>
      </c>
      <c r="E79" s="594">
        <v>4</v>
      </c>
      <c r="F79" s="691"/>
      <c r="G79" s="609">
        <f t="shared" si="3"/>
        <v>0</v>
      </c>
      <c r="J79" s="184"/>
    </row>
    <row r="80" spans="1:10" s="181" customFormat="1" ht="13.2">
      <c r="A80" s="597" t="s">
        <v>1276</v>
      </c>
      <c r="B80" s="610" t="s">
        <v>882</v>
      </c>
      <c r="C80" s="575" t="s">
        <v>1350</v>
      </c>
      <c r="D80" s="594" t="s">
        <v>1351</v>
      </c>
      <c r="E80" s="594">
        <v>1</v>
      </c>
      <c r="F80" s="691"/>
      <c r="G80" s="609">
        <f t="shared" si="3"/>
        <v>0</v>
      </c>
      <c r="J80" s="184"/>
    </row>
    <row r="81" spans="1:10" s="181" customFormat="1" ht="13.2">
      <c r="A81" s="597" t="s">
        <v>1278</v>
      </c>
      <c r="B81" s="610" t="s">
        <v>882</v>
      </c>
      <c r="C81" s="597" t="s">
        <v>1352</v>
      </c>
      <c r="D81" s="593" t="s">
        <v>1344</v>
      </c>
      <c r="E81" s="593">
        <v>2</v>
      </c>
      <c r="F81" s="692"/>
      <c r="G81" s="609">
        <f t="shared" si="3"/>
        <v>0</v>
      </c>
      <c r="J81" s="184"/>
    </row>
    <row r="82" spans="1:10" s="181" customFormat="1" ht="13.2">
      <c r="A82" s="599"/>
      <c r="B82" s="599"/>
      <c r="C82" s="599"/>
      <c r="D82" s="599"/>
      <c r="E82" s="599"/>
      <c r="F82" s="600"/>
      <c r="G82" s="600"/>
      <c r="J82" s="184"/>
    </row>
    <row r="83" spans="1:10" s="181" customFormat="1" ht="13.2">
      <c r="A83" s="599"/>
      <c r="B83" s="599"/>
      <c r="C83" s="599"/>
      <c r="D83" s="599"/>
      <c r="E83" s="599"/>
      <c r="F83" s="600"/>
      <c r="G83" s="601">
        <f>SUM(G74:G82)</f>
        <v>0</v>
      </c>
      <c r="H83" s="185"/>
      <c r="J83" s="184"/>
    </row>
    <row r="84" spans="1:10" s="181" customFormat="1" ht="13.2">
      <c r="A84" s="599"/>
      <c r="B84" s="599"/>
      <c r="C84" s="599"/>
      <c r="D84" s="599"/>
      <c r="E84" s="599"/>
      <c r="F84" s="600"/>
      <c r="G84" s="600"/>
      <c r="J84" s="184"/>
    </row>
    <row r="85" spans="1:10" s="181" customFormat="1" ht="13.2">
      <c r="A85" s="611"/>
      <c r="B85" s="612"/>
      <c r="C85" s="613" t="s">
        <v>1353</v>
      </c>
      <c r="D85" s="613"/>
      <c r="E85" s="612"/>
      <c r="F85" s="614"/>
      <c r="G85" s="615"/>
      <c r="J85" s="184"/>
    </row>
    <row r="86" spans="1:10" s="181" customFormat="1" ht="13.2">
      <c r="A86" s="575"/>
      <c r="B86" s="575"/>
      <c r="C86" s="575"/>
      <c r="D86" s="575"/>
      <c r="E86" s="575"/>
      <c r="F86" s="576"/>
      <c r="G86" s="600"/>
      <c r="J86" s="184"/>
    </row>
    <row r="87" spans="1:10" s="181" customFormat="1" ht="13.2">
      <c r="A87" s="575" t="s">
        <v>1266</v>
      </c>
      <c r="B87" s="575"/>
      <c r="C87" s="575" t="s">
        <v>1354</v>
      </c>
      <c r="D87" s="575"/>
      <c r="E87" s="575"/>
      <c r="F87" s="576"/>
      <c r="G87" s="601">
        <f>(G83+G70+G56)*1%</f>
        <v>0</v>
      </c>
      <c r="I87" s="184"/>
      <c r="J87" s="184"/>
    </row>
    <row r="88" spans="1:10" s="181" customFormat="1" ht="13.2">
      <c r="A88" s="575"/>
      <c r="B88" s="575"/>
      <c r="C88" s="575"/>
      <c r="D88" s="575"/>
      <c r="E88" s="575"/>
      <c r="F88" s="576"/>
      <c r="G88" s="616"/>
      <c r="I88" s="184"/>
      <c r="J88" s="184"/>
    </row>
    <row r="89" spans="1:10" s="181" customFormat="1" ht="13.2">
      <c r="A89" s="611"/>
      <c r="B89" s="612"/>
      <c r="C89" s="613" t="s">
        <v>1355</v>
      </c>
      <c r="D89" s="613"/>
      <c r="E89" s="612"/>
      <c r="F89" s="614"/>
      <c r="G89" s="615"/>
      <c r="J89" s="184"/>
    </row>
    <row r="90" spans="1:10" s="181" customFormat="1" ht="13.2">
      <c r="A90" s="575"/>
      <c r="B90" s="575"/>
      <c r="C90" s="575"/>
      <c r="D90" s="575"/>
      <c r="E90" s="575"/>
      <c r="F90" s="576"/>
      <c r="G90" s="600"/>
      <c r="J90" s="184"/>
    </row>
    <row r="91" spans="1:10" s="181" customFormat="1" ht="13.2">
      <c r="A91" s="575" t="s">
        <v>1266</v>
      </c>
      <c r="B91" s="575"/>
      <c r="C91" s="575" t="s">
        <v>1356</v>
      </c>
      <c r="D91" s="575"/>
      <c r="E91" s="617"/>
      <c r="F91" s="576"/>
      <c r="G91" s="601">
        <f>(G83+G70+G56)*2%</f>
        <v>0</v>
      </c>
      <c r="I91" s="184"/>
      <c r="J91" s="184"/>
    </row>
    <row r="92" spans="1:10" s="181" customFormat="1" ht="13.2">
      <c r="A92" s="599"/>
      <c r="B92" s="599"/>
      <c r="C92" s="599"/>
      <c r="D92" s="599"/>
      <c r="E92" s="599"/>
      <c r="F92" s="600"/>
      <c r="G92" s="616"/>
      <c r="I92" s="184"/>
      <c r="J92" s="184"/>
    </row>
    <row r="93" spans="1:10" s="181" customFormat="1" ht="13.2">
      <c r="A93" s="618"/>
      <c r="B93" s="619"/>
      <c r="C93" s="619"/>
      <c r="D93" s="619"/>
      <c r="E93" s="619"/>
      <c r="F93" s="620"/>
      <c r="G93" s="621"/>
      <c r="I93" s="184"/>
      <c r="J93" s="184"/>
    </row>
    <row r="94" spans="1:10" s="181" customFormat="1" ht="13.2">
      <c r="A94" s="622"/>
      <c r="B94" s="623"/>
      <c r="C94" s="623" t="s">
        <v>1357</v>
      </c>
      <c r="D94" s="623"/>
      <c r="E94" s="623"/>
      <c r="F94" s="616"/>
      <c r="G94" s="624">
        <f>SUM(G91+G87+G83+G70+G56)</f>
        <v>0</v>
      </c>
      <c r="I94" s="184"/>
      <c r="J94" s="184"/>
    </row>
    <row r="95" spans="1:7" s="181" customFormat="1" ht="13.2">
      <c r="A95" s="625"/>
      <c r="B95" s="626"/>
      <c r="C95" s="626"/>
      <c r="D95" s="626"/>
      <c r="E95" s="626"/>
      <c r="F95" s="627"/>
      <c r="G95" s="628"/>
    </row>
    <row r="96" spans="1:8" s="181" customFormat="1" ht="13.2">
      <c r="A96" s="599"/>
      <c r="B96" s="599"/>
      <c r="C96" s="599"/>
      <c r="D96" s="599"/>
      <c r="E96" s="599"/>
      <c r="F96" s="600"/>
      <c r="G96" s="600"/>
      <c r="H96" s="185"/>
    </row>
    <row r="97" spans="1:7" s="181" customFormat="1" ht="13.2">
      <c r="A97" s="599"/>
      <c r="B97" s="599"/>
      <c r="C97" s="599" t="s">
        <v>1358</v>
      </c>
      <c r="D97" s="599"/>
      <c r="E97" s="599"/>
      <c r="F97" s="600"/>
      <c r="G97" s="600"/>
    </row>
    <row r="98" spans="6:14" s="177" customFormat="1" ht="13.95" customHeight="1">
      <c r="F98" s="178"/>
      <c r="G98" s="178"/>
      <c r="M98" s="187"/>
      <c r="N98" s="187"/>
    </row>
    <row r="99" spans="6:14" s="177" customFormat="1" ht="13.95" customHeight="1">
      <c r="F99" s="178"/>
      <c r="G99" s="178"/>
      <c r="M99" s="179"/>
      <c r="N99" s="187"/>
    </row>
    <row r="100" spans="6:14" s="177" customFormat="1" ht="13.95" customHeight="1">
      <c r="F100" s="178"/>
      <c r="G100" s="178"/>
      <c r="N100" s="187"/>
    </row>
    <row r="101" spans="6:14" s="177" customFormat="1" ht="13.95" customHeight="1">
      <c r="F101" s="178"/>
      <c r="G101" s="178"/>
      <c r="N101" s="187"/>
    </row>
    <row r="102" spans="6:14" s="177" customFormat="1" ht="13.95" customHeight="1">
      <c r="F102" s="178"/>
      <c r="G102" s="178"/>
      <c r="N102" s="187"/>
    </row>
    <row r="103" spans="6:14" s="177" customFormat="1" ht="13.95" customHeight="1">
      <c r="F103" s="178"/>
      <c r="G103" s="178"/>
      <c r="N103" s="187"/>
    </row>
    <row r="104" spans="6:14" s="177" customFormat="1" ht="13.95" customHeight="1">
      <c r="F104" s="178"/>
      <c r="G104" s="178"/>
      <c r="N104" s="187"/>
    </row>
    <row r="105" spans="6:14" s="177" customFormat="1" ht="13.95" customHeight="1">
      <c r="F105" s="178"/>
      <c r="G105" s="178"/>
      <c r="N105" s="187"/>
    </row>
    <row r="106" spans="6:14" s="177" customFormat="1" ht="13.95" customHeight="1">
      <c r="F106" s="178"/>
      <c r="G106" s="178"/>
      <c r="N106" s="179"/>
    </row>
    <row r="107" spans="6:10" s="177" customFormat="1" ht="13.95" customHeight="1">
      <c r="F107" s="178"/>
      <c r="G107" s="178"/>
      <c r="J107" s="179"/>
    </row>
    <row r="108" spans="6:10" s="177" customFormat="1" ht="13.95" customHeight="1">
      <c r="F108" s="178"/>
      <c r="G108" s="178"/>
      <c r="J108" s="179"/>
    </row>
    <row r="109" spans="6:10" s="177" customFormat="1" ht="13.95" customHeight="1">
      <c r="F109" s="178"/>
      <c r="G109" s="178"/>
      <c r="J109" s="179"/>
    </row>
    <row r="110" spans="6:10" s="177" customFormat="1" ht="13.95" customHeight="1">
      <c r="F110" s="178"/>
      <c r="G110" s="178"/>
      <c r="J110" s="179"/>
    </row>
    <row r="111" spans="6:10" s="177" customFormat="1" ht="15" customHeight="1">
      <c r="F111" s="178"/>
      <c r="G111" s="178"/>
      <c r="J111" s="179"/>
    </row>
    <row r="112" spans="6:10" s="177" customFormat="1" ht="15" customHeight="1">
      <c r="F112" s="178"/>
      <c r="G112" s="178"/>
      <c r="J112" s="179"/>
    </row>
    <row r="113" spans="6:10" s="177" customFormat="1" ht="15" customHeight="1">
      <c r="F113" s="178"/>
      <c r="G113" s="178"/>
      <c r="J113" s="179"/>
    </row>
    <row r="114" spans="6:10" s="177" customFormat="1" ht="15" customHeight="1">
      <c r="F114" s="178"/>
      <c r="G114" s="178"/>
      <c r="J114" s="179"/>
    </row>
    <row r="115" spans="6:10" s="177" customFormat="1" ht="15" customHeight="1">
      <c r="F115" s="178"/>
      <c r="G115" s="178"/>
      <c r="J115" s="179"/>
    </row>
    <row r="116" spans="6:10" s="177" customFormat="1" ht="15" customHeight="1">
      <c r="F116" s="178"/>
      <c r="G116" s="178"/>
      <c r="J116" s="179"/>
    </row>
    <row r="117" spans="6:7" s="177" customFormat="1" ht="15" customHeight="1">
      <c r="F117" s="178"/>
      <c r="G117" s="178"/>
    </row>
    <row r="118" spans="6:7" s="177" customFormat="1" ht="15" customHeight="1">
      <c r="F118" s="178"/>
      <c r="G118" s="178"/>
    </row>
    <row r="119" spans="6:7" s="177" customFormat="1" ht="15" customHeight="1">
      <c r="F119" s="178"/>
      <c r="G119" s="178"/>
    </row>
    <row r="120" spans="6:10" s="177" customFormat="1" ht="13.2">
      <c r="F120" s="178"/>
      <c r="G120" s="178"/>
      <c r="J120" s="179"/>
    </row>
    <row r="121" spans="6:10" s="177" customFormat="1" ht="13.2">
      <c r="F121" s="178"/>
      <c r="G121" s="178"/>
      <c r="J121" s="179"/>
    </row>
    <row r="122" spans="6:10" s="177" customFormat="1" ht="13.2">
      <c r="F122" s="178"/>
      <c r="G122" s="178"/>
      <c r="J122" s="179"/>
    </row>
    <row r="123" spans="6:10" s="177" customFormat="1" ht="13.2">
      <c r="F123" s="178"/>
      <c r="G123" s="178"/>
      <c r="J123" s="179"/>
    </row>
    <row r="124" spans="6:10" s="177" customFormat="1" ht="13.2">
      <c r="F124" s="178"/>
      <c r="G124" s="178"/>
      <c r="I124" s="188"/>
      <c r="J124" s="179"/>
    </row>
    <row r="125" spans="6:10" s="177" customFormat="1" ht="13.2">
      <c r="F125" s="178"/>
      <c r="G125" s="178"/>
      <c r="I125" s="188"/>
      <c r="J125" s="179"/>
    </row>
    <row r="126" spans="6:10" s="177" customFormat="1" ht="13.2">
      <c r="F126" s="178"/>
      <c r="G126" s="178"/>
      <c r="I126" s="188"/>
      <c r="J126" s="179"/>
    </row>
    <row r="127" spans="6:10" s="177" customFormat="1" ht="13.2">
      <c r="F127" s="178"/>
      <c r="G127" s="178"/>
      <c r="J127" s="179"/>
    </row>
    <row r="128" spans="6:10" s="177" customFormat="1" ht="13.2">
      <c r="F128" s="178"/>
      <c r="G128" s="178"/>
      <c r="I128" s="188"/>
      <c r="J128" s="179"/>
    </row>
    <row r="129" spans="6:10" s="177" customFormat="1" ht="13.2">
      <c r="F129" s="178"/>
      <c r="G129" s="178"/>
      <c r="I129" s="189"/>
      <c r="J129" s="179"/>
    </row>
    <row r="130" spans="6:10" s="177" customFormat="1" ht="13.2">
      <c r="F130" s="178"/>
      <c r="G130" s="178"/>
      <c r="I130" s="190"/>
      <c r="J130" s="179"/>
    </row>
    <row r="133" spans="6:9" s="177" customFormat="1" ht="13.2">
      <c r="F133" s="178"/>
      <c r="G133" s="178"/>
      <c r="I133" s="189"/>
    </row>
    <row r="134" spans="6:9" s="177" customFormat="1" ht="13.2">
      <c r="F134" s="178"/>
      <c r="G134" s="178"/>
      <c r="I134" s="189"/>
    </row>
    <row r="135" spans="6:10" s="177" customFormat="1" ht="13.2">
      <c r="F135" s="178"/>
      <c r="G135" s="178"/>
      <c r="I135" s="189"/>
      <c r="J135" s="179"/>
    </row>
    <row r="136" spans="6:10" s="177" customFormat="1" ht="13.2">
      <c r="F136" s="178"/>
      <c r="G136" s="178"/>
      <c r="I136" s="190"/>
      <c r="J136" s="179"/>
    </row>
    <row r="137" spans="6:10" s="177" customFormat="1" ht="13.2">
      <c r="F137" s="178"/>
      <c r="G137" s="178"/>
      <c r="I137" s="190"/>
      <c r="J137" s="179"/>
    </row>
    <row r="138" spans="6:10" s="177" customFormat="1" ht="13.2">
      <c r="F138" s="178"/>
      <c r="G138" s="178"/>
      <c r="I138" s="189"/>
      <c r="J138" s="179"/>
    </row>
    <row r="139" spans="6:10" s="177" customFormat="1" ht="13.2">
      <c r="F139" s="178"/>
      <c r="G139" s="178"/>
      <c r="I139" s="189"/>
      <c r="J139" s="179"/>
    </row>
    <row r="140" spans="6:10" s="177" customFormat="1" ht="13.2">
      <c r="F140" s="178"/>
      <c r="G140" s="178"/>
      <c r="I140" s="189"/>
      <c r="J140" s="179"/>
    </row>
    <row r="141" spans="6:10" s="177" customFormat="1" ht="13.2">
      <c r="F141" s="178"/>
      <c r="G141" s="178"/>
      <c r="I141" s="190"/>
      <c r="J141" s="179"/>
    </row>
    <row r="142" spans="6:10" s="177" customFormat="1" ht="13.2">
      <c r="F142" s="178"/>
      <c r="G142" s="178"/>
      <c r="H142" s="178"/>
      <c r="I142" s="189"/>
      <c r="J142" s="179"/>
    </row>
    <row r="143" spans="6:10" s="177" customFormat="1" ht="13.2">
      <c r="F143" s="178"/>
      <c r="G143" s="178"/>
      <c r="H143" s="191"/>
      <c r="I143" s="189"/>
      <c r="J143" s="179"/>
    </row>
    <row r="144" spans="6:10" s="177" customFormat="1" ht="13.2">
      <c r="F144" s="178"/>
      <c r="G144" s="178"/>
      <c r="H144" s="191"/>
      <c r="I144" s="189"/>
      <c r="J144" s="179"/>
    </row>
    <row r="145" spans="6:10" s="177" customFormat="1" ht="13.2">
      <c r="F145" s="178"/>
      <c r="G145" s="178"/>
      <c r="H145" s="191"/>
      <c r="J145" s="179"/>
    </row>
    <row r="146" spans="6:10" s="177" customFormat="1" ht="13.2">
      <c r="F146" s="178"/>
      <c r="G146" s="178"/>
      <c r="H146" s="191"/>
      <c r="J146" s="179"/>
    </row>
    <row r="147" spans="6:10" s="177" customFormat="1" ht="13.2">
      <c r="F147" s="178"/>
      <c r="G147" s="178"/>
      <c r="H147" s="178"/>
      <c r="J147" s="179"/>
    </row>
    <row r="148" spans="6:10" s="177" customFormat="1" ht="13.2">
      <c r="F148" s="178"/>
      <c r="G148" s="178"/>
      <c r="H148" s="178"/>
      <c r="J148" s="179"/>
    </row>
    <row r="149" spans="6:10" s="177" customFormat="1" ht="13.2">
      <c r="F149" s="178"/>
      <c r="G149" s="178"/>
      <c r="H149" s="178"/>
      <c r="J149" s="179"/>
    </row>
    <row r="150" spans="6:10" s="177" customFormat="1" ht="13.2">
      <c r="F150" s="178"/>
      <c r="G150" s="178"/>
      <c r="H150" s="178"/>
      <c r="J150" s="179"/>
    </row>
    <row r="151" spans="6:10" s="177" customFormat="1" ht="13.2">
      <c r="F151" s="178"/>
      <c r="G151" s="178"/>
      <c r="H151" s="178"/>
      <c r="J151" s="179"/>
    </row>
    <row r="152" spans="6:10" s="177" customFormat="1" ht="13.2">
      <c r="F152" s="178"/>
      <c r="G152" s="178"/>
      <c r="H152" s="178"/>
      <c r="J152" s="179"/>
    </row>
    <row r="153" spans="6:8" s="177" customFormat="1" ht="13.2">
      <c r="F153" s="178"/>
      <c r="G153" s="178"/>
      <c r="H153" s="178"/>
    </row>
    <row r="154" spans="6:9" s="177" customFormat="1" ht="13.2">
      <c r="F154" s="178"/>
      <c r="G154" s="178"/>
      <c r="H154" s="178"/>
      <c r="I154" s="192"/>
    </row>
    <row r="155" spans="6:9" s="177" customFormat="1" ht="13.2">
      <c r="F155" s="178"/>
      <c r="G155" s="178"/>
      <c r="H155" s="178"/>
      <c r="I155" s="192"/>
    </row>
    <row r="156" spans="6:9" s="177" customFormat="1" ht="13.2">
      <c r="F156" s="178"/>
      <c r="G156" s="178"/>
      <c r="H156" s="178"/>
      <c r="I156" s="192"/>
    </row>
    <row r="157" spans="6:9" s="177" customFormat="1" ht="13.2">
      <c r="F157" s="178"/>
      <c r="G157" s="178"/>
      <c r="H157" s="178"/>
      <c r="I157" s="192"/>
    </row>
    <row r="158" spans="6:9" s="177" customFormat="1" ht="13.2">
      <c r="F158" s="178"/>
      <c r="G158" s="178"/>
      <c r="H158" s="178"/>
      <c r="I158" s="192"/>
    </row>
    <row r="159" spans="6:9" s="177" customFormat="1" ht="13.2">
      <c r="F159" s="178"/>
      <c r="G159" s="178"/>
      <c r="H159" s="178"/>
      <c r="I159" s="192"/>
    </row>
    <row r="160" spans="6:8" s="177" customFormat="1" ht="13.2">
      <c r="F160" s="178"/>
      <c r="G160" s="178"/>
      <c r="H160" s="178"/>
    </row>
    <row r="161" spans="6:8" s="177" customFormat="1" ht="13.2">
      <c r="F161" s="178"/>
      <c r="G161" s="178"/>
      <c r="H161" s="178"/>
    </row>
    <row r="162" spans="6:8" s="177" customFormat="1" ht="13.2">
      <c r="F162" s="178"/>
      <c r="G162" s="178"/>
      <c r="H162" s="178"/>
    </row>
    <row r="163" spans="6:8" s="177" customFormat="1" ht="13.2">
      <c r="F163" s="178"/>
      <c r="G163" s="178"/>
      <c r="H163" s="178"/>
    </row>
    <row r="164" spans="6:8" s="177" customFormat="1" ht="13.2">
      <c r="F164" s="178"/>
      <c r="G164" s="178"/>
      <c r="H164" s="178"/>
    </row>
    <row r="170" spans="6:10" s="177" customFormat="1" ht="12" customHeight="1">
      <c r="F170" s="178"/>
      <c r="G170" s="178"/>
      <c r="H170" s="188"/>
      <c r="I170" s="192"/>
      <c r="J170" s="179"/>
    </row>
    <row r="171" spans="6:10" s="177" customFormat="1" ht="12" customHeight="1">
      <c r="F171" s="178"/>
      <c r="G171" s="178"/>
      <c r="H171" s="188"/>
      <c r="I171" s="192"/>
      <c r="J171" s="179"/>
    </row>
    <row r="172" spans="6:10" s="177" customFormat="1" ht="12" customHeight="1">
      <c r="F172" s="178"/>
      <c r="G172" s="178"/>
      <c r="H172" s="188"/>
      <c r="I172" s="192"/>
      <c r="J172" s="179"/>
    </row>
    <row r="173" spans="6:10" s="177" customFormat="1" ht="12" customHeight="1">
      <c r="F173" s="178"/>
      <c r="G173" s="178"/>
      <c r="H173" s="188"/>
      <c r="I173" s="192"/>
      <c r="J173" s="179"/>
    </row>
    <row r="174" spans="6:10" s="177" customFormat="1" ht="9.9" customHeight="1">
      <c r="F174" s="178"/>
      <c r="G174" s="178"/>
      <c r="H174" s="179"/>
      <c r="I174" s="187"/>
      <c r="J174" s="179"/>
    </row>
    <row r="175" spans="6:10" s="177" customFormat="1" ht="9.9" customHeight="1">
      <c r="F175" s="178"/>
      <c r="G175" s="178"/>
      <c r="H175" s="179"/>
      <c r="I175" s="187"/>
      <c r="J175" s="179"/>
    </row>
    <row r="176" spans="6:10" s="177" customFormat="1" ht="9.9" customHeight="1">
      <c r="F176" s="178"/>
      <c r="G176" s="178"/>
      <c r="H176" s="179"/>
      <c r="I176" s="187"/>
      <c r="J176" s="179"/>
    </row>
    <row r="177" spans="6:10" s="177" customFormat="1" ht="9.9" customHeight="1">
      <c r="F177" s="178"/>
      <c r="G177" s="178"/>
      <c r="H177" s="179"/>
      <c r="I177" s="187"/>
      <c r="J177" s="179"/>
    </row>
    <row r="178" spans="6:10" s="177" customFormat="1" ht="9.9" customHeight="1">
      <c r="F178" s="178"/>
      <c r="G178" s="178"/>
      <c r="H178" s="179"/>
      <c r="I178" s="187"/>
      <c r="J178" s="179"/>
    </row>
    <row r="179" spans="6:10" s="177" customFormat="1" ht="9.9" customHeight="1">
      <c r="F179" s="178"/>
      <c r="G179" s="178"/>
      <c r="H179" s="179"/>
      <c r="I179" s="187"/>
      <c r="J179" s="179"/>
    </row>
    <row r="180" spans="6:10" s="177" customFormat="1" ht="9.9" customHeight="1">
      <c r="F180" s="178"/>
      <c r="G180" s="178"/>
      <c r="H180" s="179"/>
      <c r="I180" s="187"/>
      <c r="J180" s="179"/>
    </row>
    <row r="181" spans="6:10" s="177" customFormat="1" ht="9.9" customHeight="1">
      <c r="F181" s="178"/>
      <c r="G181" s="178"/>
      <c r="H181" s="179"/>
      <c r="I181" s="187"/>
      <c r="J181" s="179"/>
    </row>
    <row r="182" spans="6:10" s="177" customFormat="1" ht="9.9" customHeight="1">
      <c r="F182" s="178"/>
      <c r="G182" s="178"/>
      <c r="H182" s="179"/>
      <c r="I182" s="187"/>
      <c r="J182" s="179"/>
    </row>
    <row r="183" spans="6:10" s="177" customFormat="1" ht="9.9" customHeight="1">
      <c r="F183" s="178"/>
      <c r="G183" s="178"/>
      <c r="H183" s="179"/>
      <c r="I183" s="187"/>
      <c r="J183" s="179"/>
    </row>
    <row r="184" spans="6:10" s="177" customFormat="1" ht="9.9" customHeight="1">
      <c r="F184" s="178"/>
      <c r="G184" s="178"/>
      <c r="H184" s="179"/>
      <c r="I184" s="187"/>
      <c r="J184" s="179"/>
    </row>
    <row r="185" spans="6:10" s="177" customFormat="1" ht="9.9" customHeight="1">
      <c r="F185" s="178"/>
      <c r="G185" s="178"/>
      <c r="H185" s="179"/>
      <c r="I185" s="187"/>
      <c r="J185" s="179"/>
    </row>
    <row r="186" spans="6:10" s="177" customFormat="1" ht="9.9" customHeight="1">
      <c r="F186" s="178"/>
      <c r="G186" s="178"/>
      <c r="H186" s="179"/>
      <c r="I186" s="187"/>
      <c r="J186" s="179"/>
    </row>
    <row r="187" spans="6:9" s="177" customFormat="1" ht="13.2">
      <c r="F187" s="178"/>
      <c r="G187" s="178"/>
      <c r="I187" s="193"/>
    </row>
    <row r="188" spans="6:9" s="177" customFormat="1" ht="13.2">
      <c r="F188" s="178"/>
      <c r="G188" s="178"/>
      <c r="I188" s="193"/>
    </row>
    <row r="189" spans="6:9" s="177" customFormat="1" ht="13.2">
      <c r="F189" s="178"/>
      <c r="G189" s="178"/>
      <c r="I189" s="193"/>
    </row>
  </sheetData>
  <sheetProtection sheet="1" objects="1" scenarios="1"/>
  <printOptions/>
  <pageMargins left="0.708333333333333" right="0.708333333333333" top="0.7875" bottom="0.7875" header="0.511805555555555" footer="0.511805555555555"/>
  <pageSetup fitToHeight="99" fitToWidth="1"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workbookViewId="0" topLeftCell="A1">
      <selection activeCell="K9" sqref="K9"/>
    </sheetView>
  </sheetViews>
  <sheetFormatPr defaultColWidth="8.57421875" defaultRowHeight="15"/>
  <cols>
    <col min="1" max="1" width="3.7109375" style="83" customWidth="1"/>
    <col min="2" max="2" width="11.7109375" style="83" customWidth="1"/>
    <col min="3" max="3" width="40.7109375" style="83" customWidth="1"/>
    <col min="4" max="4" width="10.7109375" style="83" customWidth="1"/>
    <col min="5" max="6" width="13.7109375" style="83" customWidth="1"/>
    <col min="7" max="7" width="16.7109375" style="83" customWidth="1"/>
    <col min="8" max="16384" width="8.57421875" style="83" customWidth="1"/>
  </cols>
  <sheetData>
    <row r="1" spans="1:8" ht="21">
      <c r="A1" s="74" t="s">
        <v>1453</v>
      </c>
      <c r="B1" s="75"/>
      <c r="C1" s="75"/>
      <c r="D1" s="75"/>
      <c r="E1" s="75"/>
      <c r="F1" s="75"/>
      <c r="G1" s="85"/>
      <c r="H1" s="75"/>
    </row>
    <row r="2" spans="1:8" ht="15">
      <c r="A2" s="76" t="s">
        <v>1400</v>
      </c>
      <c r="B2" s="76"/>
      <c r="C2" s="432"/>
      <c r="D2" s="432"/>
      <c r="E2" s="432"/>
      <c r="F2" s="432"/>
      <c r="G2" s="430"/>
      <c r="H2" s="430"/>
    </row>
    <row r="3" spans="1:3" ht="15">
      <c r="A3" s="76" t="s">
        <v>24</v>
      </c>
      <c r="B3" s="78"/>
      <c r="C3" s="433"/>
    </row>
    <row r="4" spans="1:7" ht="15">
      <c r="A4" s="76" t="s">
        <v>1401</v>
      </c>
      <c r="B4" s="78"/>
      <c r="C4" s="433"/>
      <c r="G4" s="84"/>
    </row>
    <row r="5" s="479" customFormat="1" ht="13.2"/>
    <row r="6" spans="1:7" s="479" customFormat="1" ht="24.9" customHeight="1">
      <c r="A6" s="480"/>
      <c r="B6" s="481"/>
      <c r="C6" s="482" t="s">
        <v>1402</v>
      </c>
      <c r="D6" s="726" t="s">
        <v>1403</v>
      </c>
      <c r="E6" s="726"/>
      <c r="F6" s="726"/>
      <c r="G6" s="726"/>
    </row>
    <row r="7" spans="1:7" s="479" customFormat="1" ht="54" customHeight="1">
      <c r="A7" s="483">
        <v>1</v>
      </c>
      <c r="B7" s="484"/>
      <c r="C7" s="485" t="s">
        <v>1451</v>
      </c>
      <c r="D7" s="486" t="s">
        <v>25</v>
      </c>
      <c r="E7" s="487">
        <v>1</v>
      </c>
      <c r="F7" s="669"/>
      <c r="G7" s="487">
        <f aca="true" t="shared" si="0" ref="G7:G12">F7*E7</f>
        <v>0</v>
      </c>
    </row>
    <row r="8" spans="1:7" s="479" customFormat="1" ht="54" customHeight="1">
      <c r="A8" s="483">
        <v>2</v>
      </c>
      <c r="B8" s="484"/>
      <c r="C8" s="485" t="s">
        <v>1448</v>
      </c>
      <c r="D8" s="486" t="s">
        <v>25</v>
      </c>
      <c r="E8" s="487">
        <v>1</v>
      </c>
      <c r="F8" s="669"/>
      <c r="G8" s="487">
        <f t="shared" si="0"/>
        <v>0</v>
      </c>
    </row>
    <row r="9" spans="1:7" s="479" customFormat="1" ht="67.5" customHeight="1">
      <c r="A9" s="483">
        <v>3</v>
      </c>
      <c r="B9" s="484"/>
      <c r="C9" s="485" t="s">
        <v>1404</v>
      </c>
      <c r="D9" s="486" t="s">
        <v>25</v>
      </c>
      <c r="E9" s="487">
        <v>1</v>
      </c>
      <c r="F9" s="669"/>
      <c r="G9" s="487">
        <f t="shared" si="0"/>
        <v>0</v>
      </c>
    </row>
    <row r="10" spans="1:7" s="479" customFormat="1" ht="13.5" customHeight="1">
      <c r="A10" s="483">
        <v>4</v>
      </c>
      <c r="B10" s="484"/>
      <c r="C10" s="485" t="s">
        <v>1405</v>
      </c>
      <c r="D10" s="486" t="s">
        <v>25</v>
      </c>
      <c r="E10" s="487">
        <v>1</v>
      </c>
      <c r="F10" s="669"/>
      <c r="G10" s="487">
        <f t="shared" si="0"/>
        <v>0</v>
      </c>
    </row>
    <row r="11" spans="1:7" s="479" customFormat="1" ht="40.5" customHeight="1">
      <c r="A11" s="483">
        <v>5</v>
      </c>
      <c r="B11" s="484"/>
      <c r="C11" s="485" t="s">
        <v>1406</v>
      </c>
      <c r="D11" s="486" t="s">
        <v>25</v>
      </c>
      <c r="E11" s="487">
        <v>1</v>
      </c>
      <c r="F11" s="669"/>
      <c r="G11" s="487">
        <f t="shared" si="0"/>
        <v>0</v>
      </c>
    </row>
    <row r="12" spans="1:7" s="479" customFormat="1" ht="13.5" customHeight="1">
      <c r="A12" s="483">
        <v>6</v>
      </c>
      <c r="B12" s="484"/>
      <c r="C12" s="485" t="s">
        <v>1407</v>
      </c>
      <c r="D12" s="486" t="s">
        <v>25</v>
      </c>
      <c r="E12" s="487">
        <v>20</v>
      </c>
      <c r="F12" s="669"/>
      <c r="G12" s="487">
        <f t="shared" si="0"/>
        <v>0</v>
      </c>
    </row>
    <row r="13" spans="1:7" s="479" customFormat="1" ht="13.5" customHeight="1">
      <c r="A13" s="488"/>
      <c r="B13" s="489" t="s">
        <v>26</v>
      </c>
      <c r="C13" s="490"/>
      <c r="D13" s="491"/>
      <c r="E13" s="492"/>
      <c r="F13" s="493"/>
      <c r="G13" s="494">
        <f>SUM(G7:G12)</f>
        <v>0</v>
      </c>
    </row>
    <row r="14" spans="6:7" s="479" customFormat="1" ht="13.2">
      <c r="F14" s="495"/>
      <c r="G14" s="495"/>
    </row>
    <row r="15" spans="1:8" ht="15">
      <c r="A15" s="477" t="s">
        <v>20</v>
      </c>
      <c r="B15" s="477"/>
      <c r="C15" s="477"/>
      <c r="D15" s="477"/>
      <c r="E15" s="477"/>
      <c r="F15" s="477"/>
      <c r="G15" s="477"/>
      <c r="H15" s="477"/>
    </row>
    <row r="16" spans="1:8" ht="27" customHeight="1">
      <c r="A16" s="707" t="s">
        <v>27</v>
      </c>
      <c r="B16" s="707"/>
      <c r="C16" s="707"/>
      <c r="D16" s="707"/>
      <c r="E16" s="707"/>
      <c r="F16" s="707"/>
      <c r="G16" s="707"/>
      <c r="H16" s="477"/>
    </row>
  </sheetData>
  <sheetProtection sheet="1" objects="1" scenarios="1"/>
  <mergeCells count="2">
    <mergeCell ref="D6:G6"/>
    <mergeCell ref="A16:G16"/>
  </mergeCells>
  <printOptions/>
  <pageMargins left="0.7874015748031497" right="0.7874015748031497" top="1.062992125984252" bottom="1.062992125984252" header="0.7874015748031497" footer="0.7874015748031497"/>
  <pageSetup fitToHeight="99" fitToWidth="1" horizontalDpi="300" verticalDpi="300" orientation="portrait" paperSize="9" scale="76" r:id="rId1"/>
  <headerFooter>
    <oddHeader>&amp;C&amp;"Times New Roman,Běžné"&amp;12&amp;A</oddHeader>
    <oddFooter>&amp;C&amp;"Times New Roman,Běžné"&amp;12Stránka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9"/>
  <sheetViews>
    <sheetView workbookViewId="0" topLeftCell="A1">
      <selection activeCell="M15" sqref="M15"/>
    </sheetView>
  </sheetViews>
  <sheetFormatPr defaultColWidth="8.57421875" defaultRowHeight="15"/>
  <cols>
    <col min="1" max="1" width="6.7109375" style="208" customWidth="1"/>
    <col min="2" max="2" width="4.7109375" style="208" customWidth="1"/>
    <col min="3" max="3" width="13.7109375" style="208" customWidth="1"/>
    <col min="4" max="4" width="64.7109375" style="208" customWidth="1"/>
    <col min="5" max="5" width="6.7109375" style="208" customWidth="1"/>
    <col min="6" max="6" width="8.7109375" style="208" customWidth="1"/>
    <col min="7" max="7" width="10.7109375" style="249" customWidth="1"/>
    <col min="8" max="8" width="13.7109375" style="208" customWidth="1"/>
    <col min="9" max="16384" width="8.57421875" style="83" customWidth="1"/>
  </cols>
  <sheetData>
    <row r="1" spans="1:8" ht="21">
      <c r="A1" s="74" t="s">
        <v>1453</v>
      </c>
      <c r="B1" s="75"/>
      <c r="C1" s="75"/>
      <c r="D1" s="75"/>
      <c r="E1" s="75"/>
      <c r="F1" s="75"/>
      <c r="G1" s="85"/>
      <c r="H1" s="75"/>
    </row>
    <row r="2" spans="1:8" ht="15">
      <c r="A2" s="212" t="s">
        <v>28</v>
      </c>
      <c r="B2" s="212"/>
      <c r="C2" s="213"/>
      <c r="D2" s="213"/>
      <c r="E2" s="213"/>
      <c r="F2" s="213"/>
      <c r="G2" s="211"/>
      <c r="H2" s="210"/>
    </row>
    <row r="3" spans="1:8" ht="15">
      <c r="A3" s="212" t="s">
        <v>24</v>
      </c>
      <c r="B3" s="214"/>
      <c r="C3" s="215"/>
      <c r="D3" s="216"/>
      <c r="E3" s="216"/>
      <c r="F3" s="216"/>
      <c r="G3" s="217"/>
      <c r="H3" s="216"/>
    </row>
    <row r="4" spans="1:8" ht="15">
      <c r="A4" s="212" t="s">
        <v>29</v>
      </c>
      <c r="B4" s="214"/>
      <c r="C4" s="215"/>
      <c r="D4" s="216"/>
      <c r="E4" s="216"/>
      <c r="F4" s="216"/>
      <c r="G4" s="217"/>
      <c r="H4" s="216"/>
    </row>
    <row r="5" spans="1:8" ht="15">
      <c r="A5" s="212"/>
      <c r="B5" s="214"/>
      <c r="C5" s="215"/>
      <c r="D5" s="216"/>
      <c r="E5" s="216"/>
      <c r="F5" s="216"/>
      <c r="G5" s="217"/>
      <c r="H5" s="216"/>
    </row>
    <row r="6" spans="1:8" ht="21.6">
      <c r="A6" s="218" t="s">
        <v>30</v>
      </c>
      <c r="B6" s="219" t="s">
        <v>31</v>
      </c>
      <c r="C6" s="219" t="s">
        <v>32</v>
      </c>
      <c r="D6" s="219" t="s">
        <v>33</v>
      </c>
      <c r="E6" s="219" t="s">
        <v>34</v>
      </c>
      <c r="F6" s="219" t="s">
        <v>35</v>
      </c>
      <c r="G6" s="220" t="s">
        <v>36</v>
      </c>
      <c r="H6" s="219" t="s">
        <v>15</v>
      </c>
    </row>
    <row r="7" spans="1:8" ht="15">
      <c r="A7" s="218" t="s">
        <v>37</v>
      </c>
      <c r="B7" s="219" t="s">
        <v>38</v>
      </c>
      <c r="C7" s="219" t="s">
        <v>39</v>
      </c>
      <c r="D7" s="219" t="s">
        <v>40</v>
      </c>
      <c r="E7" s="219" t="s">
        <v>41</v>
      </c>
      <c r="F7" s="219" t="s">
        <v>42</v>
      </c>
      <c r="G7" s="220" t="s">
        <v>43</v>
      </c>
      <c r="H7" s="219">
        <v>8</v>
      </c>
    </row>
    <row r="8" spans="1:8" ht="20.1" customHeight="1">
      <c r="A8" s="221"/>
      <c r="B8" s="222"/>
      <c r="C8" s="222" t="s">
        <v>44</v>
      </c>
      <c r="D8" s="222" t="s">
        <v>45</v>
      </c>
      <c r="E8" s="222"/>
      <c r="F8" s="223"/>
      <c r="G8" s="224"/>
      <c r="H8" s="224">
        <f>H9+H12+H23</f>
        <v>0</v>
      </c>
    </row>
    <row r="9" spans="1:8" ht="15" customHeight="1">
      <c r="A9" s="225"/>
      <c r="B9" s="226"/>
      <c r="C9" s="226">
        <v>3</v>
      </c>
      <c r="D9" s="226" t="s">
        <v>67</v>
      </c>
      <c r="E9" s="226"/>
      <c r="F9" s="227"/>
      <c r="G9" s="228"/>
      <c r="H9" s="228">
        <f>SUM(H10:H11)</f>
        <v>0</v>
      </c>
    </row>
    <row r="10" spans="1:10" s="114" customFormat="1" ht="13.5" customHeight="1">
      <c r="A10" s="194">
        <v>2</v>
      </c>
      <c r="B10" s="203" t="s">
        <v>68</v>
      </c>
      <c r="C10" s="195">
        <v>342272235</v>
      </c>
      <c r="D10" s="195" t="s">
        <v>77</v>
      </c>
      <c r="E10" s="195" t="s">
        <v>48</v>
      </c>
      <c r="F10" s="196">
        <f>SUM(F11:F11)</f>
        <v>11.1</v>
      </c>
      <c r="G10" s="672"/>
      <c r="H10" s="197">
        <f>F10*G10</f>
        <v>0</v>
      </c>
      <c r="J10" s="123"/>
    </row>
    <row r="11" spans="1:10" s="114" customFormat="1" ht="13.5" customHeight="1">
      <c r="A11" s="204"/>
      <c r="B11" s="201"/>
      <c r="C11" s="201"/>
      <c r="D11" s="201" t="s">
        <v>79</v>
      </c>
      <c r="E11" s="201"/>
      <c r="F11" s="205">
        <v>11.1</v>
      </c>
      <c r="G11" s="681"/>
      <c r="H11" s="206"/>
      <c r="J11" s="123"/>
    </row>
    <row r="12" spans="1:8" ht="15" customHeight="1">
      <c r="A12" s="225"/>
      <c r="B12" s="226"/>
      <c r="C12" s="226">
        <v>4</v>
      </c>
      <c r="D12" s="226" t="s">
        <v>80</v>
      </c>
      <c r="E12" s="226"/>
      <c r="F12" s="227"/>
      <c r="G12" s="682"/>
      <c r="H12" s="228">
        <f>SUM(H13:H22)</f>
        <v>0</v>
      </c>
    </row>
    <row r="13" spans="1:8" s="123" customFormat="1" ht="13.5" customHeight="1">
      <c r="A13" s="194">
        <v>3</v>
      </c>
      <c r="B13" s="195">
        <v>430</v>
      </c>
      <c r="C13" s="195">
        <v>430321515</v>
      </c>
      <c r="D13" s="195" t="s">
        <v>99</v>
      </c>
      <c r="E13" s="195" t="s">
        <v>51</v>
      </c>
      <c r="F13" s="196">
        <f>SUM(F14:F15)</f>
        <v>0.7</v>
      </c>
      <c r="G13" s="672"/>
      <c r="H13" s="197">
        <f>F13*G13</f>
        <v>0</v>
      </c>
    </row>
    <row r="14" spans="1:10" s="114" customFormat="1" ht="13.5" customHeight="1">
      <c r="A14" s="204"/>
      <c r="B14" s="201"/>
      <c r="C14" s="201"/>
      <c r="D14" s="201" t="s">
        <v>100</v>
      </c>
      <c r="E14" s="201"/>
      <c r="F14" s="205">
        <v>0.3</v>
      </c>
      <c r="G14" s="681"/>
      <c r="H14" s="206"/>
      <c r="J14" s="123"/>
    </row>
    <row r="15" spans="1:10" s="114" customFormat="1" ht="13.5" customHeight="1">
      <c r="A15" s="204"/>
      <c r="B15" s="201"/>
      <c r="C15" s="201"/>
      <c r="D15" s="201" t="s">
        <v>101</v>
      </c>
      <c r="E15" s="201"/>
      <c r="F15" s="205">
        <v>0.4</v>
      </c>
      <c r="G15" s="681"/>
      <c r="H15" s="206"/>
      <c r="J15" s="123"/>
    </row>
    <row r="16" spans="1:8" s="123" customFormat="1" ht="13.5" customHeight="1">
      <c r="A16" s="194">
        <v>4</v>
      </c>
      <c r="B16" s="195">
        <v>430</v>
      </c>
      <c r="C16" s="195">
        <v>430361821</v>
      </c>
      <c r="D16" s="195" t="s">
        <v>102</v>
      </c>
      <c r="E16" s="195" t="s">
        <v>66</v>
      </c>
      <c r="F16" s="196">
        <f>F17</f>
        <v>0.1</v>
      </c>
      <c r="G16" s="672"/>
      <c r="H16" s="197">
        <f>F16*G16</f>
        <v>0</v>
      </c>
    </row>
    <row r="17" spans="1:10" s="114" customFormat="1" ht="13.5" customHeight="1">
      <c r="A17" s="204"/>
      <c r="B17" s="201"/>
      <c r="C17" s="201"/>
      <c r="D17" s="201" t="s">
        <v>103</v>
      </c>
      <c r="E17" s="201"/>
      <c r="F17" s="205">
        <v>0.1</v>
      </c>
      <c r="G17" s="681"/>
      <c r="H17" s="206"/>
      <c r="J17" s="123"/>
    </row>
    <row r="18" spans="1:8" s="123" customFormat="1" ht="13.5" customHeight="1">
      <c r="A18" s="194">
        <v>5</v>
      </c>
      <c r="B18" s="195">
        <v>430</v>
      </c>
      <c r="C18" s="195">
        <v>434351141</v>
      </c>
      <c r="D18" s="195" t="s">
        <v>104</v>
      </c>
      <c r="E18" s="195" t="s">
        <v>48</v>
      </c>
      <c r="F18" s="196">
        <f>SUM(F19:F20)</f>
        <v>2.6</v>
      </c>
      <c r="G18" s="672"/>
      <c r="H18" s="197">
        <f>F18*G18</f>
        <v>0</v>
      </c>
    </row>
    <row r="19" spans="1:10" s="114" customFormat="1" ht="13.5" customHeight="1">
      <c r="A19" s="204"/>
      <c r="B19" s="201"/>
      <c r="C19" s="201"/>
      <c r="D19" s="201" t="s">
        <v>105</v>
      </c>
      <c r="E19" s="201"/>
      <c r="F19" s="205">
        <v>1.3</v>
      </c>
      <c r="G19" s="681"/>
      <c r="H19" s="206"/>
      <c r="J19" s="123"/>
    </row>
    <row r="20" spans="1:10" s="114" customFormat="1" ht="13.5" customHeight="1">
      <c r="A20" s="204"/>
      <c r="B20" s="201"/>
      <c r="C20" s="201"/>
      <c r="D20" s="201" t="s">
        <v>106</v>
      </c>
      <c r="E20" s="201"/>
      <c r="F20" s="205">
        <v>1.3</v>
      </c>
      <c r="G20" s="681"/>
      <c r="H20" s="206"/>
      <c r="J20" s="123"/>
    </row>
    <row r="21" spans="1:8" s="123" customFormat="1" ht="13.5" customHeight="1">
      <c r="A21" s="194">
        <v>6</v>
      </c>
      <c r="B21" s="195">
        <v>434</v>
      </c>
      <c r="C21" s="195">
        <v>434351142</v>
      </c>
      <c r="D21" s="195" t="s">
        <v>107</v>
      </c>
      <c r="E21" s="195" t="s">
        <v>48</v>
      </c>
      <c r="F21" s="196">
        <f>F22</f>
        <v>2.6</v>
      </c>
      <c r="G21" s="672"/>
      <c r="H21" s="197">
        <f>F21*G21</f>
        <v>0</v>
      </c>
    </row>
    <row r="22" spans="1:10" s="114" customFormat="1" ht="13.5" customHeight="1">
      <c r="A22" s="204"/>
      <c r="B22" s="201"/>
      <c r="C22" s="201"/>
      <c r="D22" s="201" t="s">
        <v>108</v>
      </c>
      <c r="E22" s="201"/>
      <c r="F22" s="205">
        <f>F18</f>
        <v>2.6</v>
      </c>
      <c r="G22" s="681"/>
      <c r="H22" s="206"/>
      <c r="J22" s="123"/>
    </row>
    <row r="23" spans="1:8" ht="15" customHeight="1">
      <c r="A23" s="225"/>
      <c r="B23" s="226"/>
      <c r="C23" s="226">
        <v>9</v>
      </c>
      <c r="D23" s="226" t="s">
        <v>136</v>
      </c>
      <c r="E23" s="226"/>
      <c r="F23" s="227"/>
      <c r="G23" s="682"/>
      <c r="H23" s="228">
        <f>SUM(H24:H27)</f>
        <v>0</v>
      </c>
    </row>
    <row r="24" spans="1:10" s="114" customFormat="1" ht="13.5" customHeight="1">
      <c r="A24" s="194">
        <v>7</v>
      </c>
      <c r="B24" s="203">
        <v>899</v>
      </c>
      <c r="C24" s="195">
        <v>899103211</v>
      </c>
      <c r="D24" s="195" t="s">
        <v>137</v>
      </c>
      <c r="E24" s="195" t="s">
        <v>25</v>
      </c>
      <c r="F24" s="196">
        <f>F25</f>
        <v>1</v>
      </c>
      <c r="G24" s="672"/>
      <c r="H24" s="197">
        <f>F24*G24</f>
        <v>0</v>
      </c>
      <c r="J24" s="123"/>
    </row>
    <row r="25" spans="1:10" s="114" customFormat="1" ht="13.5" customHeight="1">
      <c r="A25" s="204"/>
      <c r="B25" s="201"/>
      <c r="C25" s="201"/>
      <c r="D25" s="201" t="s">
        <v>138</v>
      </c>
      <c r="E25" s="201"/>
      <c r="F25" s="205">
        <v>1</v>
      </c>
      <c r="G25" s="681"/>
      <c r="H25" s="206"/>
      <c r="J25" s="117"/>
    </row>
    <row r="26" spans="1:10" s="114" customFormat="1" ht="13.5" customHeight="1">
      <c r="A26" s="194"/>
      <c r="B26" s="203" t="s">
        <v>1364</v>
      </c>
      <c r="C26" s="195">
        <v>997013831</v>
      </c>
      <c r="D26" s="195" t="s">
        <v>1363</v>
      </c>
      <c r="E26" s="195" t="s">
        <v>66</v>
      </c>
      <c r="F26" s="196">
        <f>F27</f>
        <v>652.3</v>
      </c>
      <c r="G26" s="672"/>
      <c r="H26" s="197">
        <f>F26*G26</f>
        <v>0</v>
      </c>
      <c r="J26" s="123"/>
    </row>
    <row r="27" spans="1:10" s="114" customFormat="1" ht="13.5" customHeight="1">
      <c r="A27" s="204"/>
      <c r="B27" s="201"/>
      <c r="C27" s="201"/>
      <c r="D27" s="201" t="s">
        <v>1365</v>
      </c>
      <c r="E27" s="201"/>
      <c r="F27" s="205">
        <f>932.3-280</f>
        <v>652.3</v>
      </c>
      <c r="G27" s="681"/>
      <c r="H27" s="206"/>
      <c r="J27" s="117"/>
    </row>
    <row r="28" spans="1:10" ht="20.1" customHeight="1">
      <c r="A28" s="221"/>
      <c r="B28" s="222"/>
      <c r="C28" s="222" t="s">
        <v>204</v>
      </c>
      <c r="D28" s="222" t="s">
        <v>205</v>
      </c>
      <c r="E28" s="222"/>
      <c r="F28" s="223"/>
      <c r="G28" s="683"/>
      <c r="H28" s="224">
        <f>H29+H80+H93+H101+H104+H107+H150</f>
        <v>0</v>
      </c>
      <c r="J28" s="123"/>
    </row>
    <row r="29" spans="1:8" ht="15" customHeight="1">
      <c r="A29" s="225"/>
      <c r="B29" s="226"/>
      <c r="C29" s="226">
        <v>766</v>
      </c>
      <c r="D29" s="226" t="s">
        <v>461</v>
      </c>
      <c r="E29" s="226"/>
      <c r="F29" s="227"/>
      <c r="G29" s="682"/>
      <c r="H29" s="228">
        <f>SUM(H30:H79)</f>
        <v>0</v>
      </c>
    </row>
    <row r="30" spans="1:10" s="114" customFormat="1" ht="13.5" customHeight="1">
      <c r="A30" s="194">
        <v>11</v>
      </c>
      <c r="B30" s="195">
        <v>766</v>
      </c>
      <c r="C30" s="195">
        <v>766441821</v>
      </c>
      <c r="D30" s="195" t="s">
        <v>462</v>
      </c>
      <c r="E30" s="195" t="s">
        <v>25</v>
      </c>
      <c r="F30" s="196">
        <f>F31</f>
        <v>6</v>
      </c>
      <c r="G30" s="672"/>
      <c r="H30" s="197">
        <f>F30*G30</f>
        <v>0</v>
      </c>
      <c r="J30" s="123"/>
    </row>
    <row r="31" spans="1:10" s="114" customFormat="1" ht="13.5" customHeight="1">
      <c r="A31" s="194"/>
      <c r="B31" s="195"/>
      <c r="C31" s="195"/>
      <c r="D31" s="201" t="s">
        <v>463</v>
      </c>
      <c r="E31" s="195"/>
      <c r="F31" s="202">
        <v>6</v>
      </c>
      <c r="G31" s="672"/>
      <c r="H31" s="197"/>
      <c r="J31" s="123"/>
    </row>
    <row r="32" spans="1:10" s="104" customFormat="1" ht="13.5" customHeight="1">
      <c r="A32" s="97">
        <v>12</v>
      </c>
      <c r="B32" s="98">
        <v>766</v>
      </c>
      <c r="C32" s="98" t="s">
        <v>529</v>
      </c>
      <c r="D32" s="98" t="s">
        <v>530</v>
      </c>
      <c r="E32" s="98" t="s">
        <v>25</v>
      </c>
      <c r="F32" s="99">
        <f>F33</f>
        <v>1</v>
      </c>
      <c r="G32" s="673"/>
      <c r="H32" s="100">
        <f>F32*G32</f>
        <v>0</v>
      </c>
      <c r="J32" s="101"/>
    </row>
    <row r="33" spans="1:10" s="104" customFormat="1" ht="13.5" customHeight="1">
      <c r="A33" s="111"/>
      <c r="B33" s="102"/>
      <c r="C33" s="102"/>
      <c r="D33" s="102" t="s">
        <v>531</v>
      </c>
      <c r="E33" s="102"/>
      <c r="F33" s="112">
        <v>1</v>
      </c>
      <c r="G33" s="677"/>
      <c r="H33" s="113"/>
      <c r="I33" s="114"/>
      <c r="J33" s="117"/>
    </row>
    <row r="34" spans="1:10" s="104" customFormat="1" ht="13.5" customHeight="1">
      <c r="A34" s="111"/>
      <c r="B34" s="102"/>
      <c r="C34" s="102"/>
      <c r="D34" s="102" t="s">
        <v>485</v>
      </c>
      <c r="E34" s="102"/>
      <c r="F34" s="112"/>
      <c r="G34" s="677"/>
      <c r="H34" s="113"/>
      <c r="I34" s="114"/>
      <c r="J34" s="117"/>
    </row>
    <row r="35" spans="1:10" s="114" customFormat="1" ht="13.5" customHeight="1">
      <c r="A35" s="194">
        <v>13</v>
      </c>
      <c r="B35" s="195">
        <v>766</v>
      </c>
      <c r="C35" s="195" t="s">
        <v>561</v>
      </c>
      <c r="D35" s="195" t="s">
        <v>562</v>
      </c>
      <c r="E35" s="195" t="s">
        <v>25</v>
      </c>
      <c r="F35" s="196">
        <f>F36</f>
        <v>73</v>
      </c>
      <c r="G35" s="672"/>
      <c r="H35" s="197">
        <f>F35*G35</f>
        <v>0</v>
      </c>
      <c r="J35" s="123"/>
    </row>
    <row r="36" spans="1:10" s="114" customFormat="1" ht="13.5" customHeight="1">
      <c r="A36" s="204"/>
      <c r="B36" s="201"/>
      <c r="C36" s="201"/>
      <c r="D36" s="201" t="s">
        <v>563</v>
      </c>
      <c r="E36" s="201"/>
      <c r="F36" s="205">
        <f>176-103</f>
        <v>73</v>
      </c>
      <c r="G36" s="681"/>
      <c r="H36" s="206"/>
      <c r="J36" s="117"/>
    </row>
    <row r="37" spans="1:10" s="114" customFormat="1" ht="13.5" customHeight="1">
      <c r="A37" s="204"/>
      <c r="B37" s="201"/>
      <c r="C37" s="201"/>
      <c r="D37" s="201" t="s">
        <v>564</v>
      </c>
      <c r="E37" s="201"/>
      <c r="F37" s="205"/>
      <c r="G37" s="681"/>
      <c r="H37" s="206"/>
      <c r="J37" s="117"/>
    </row>
    <row r="38" spans="1:10" s="114" customFormat="1" ht="13.5" customHeight="1">
      <c r="A38" s="194">
        <v>14</v>
      </c>
      <c r="B38" s="195">
        <v>766</v>
      </c>
      <c r="C38" s="195" t="s">
        <v>565</v>
      </c>
      <c r="D38" s="195" t="s">
        <v>566</v>
      </c>
      <c r="E38" s="195" t="s">
        <v>25</v>
      </c>
      <c r="F38" s="196">
        <f>F39</f>
        <v>1</v>
      </c>
      <c r="G38" s="672"/>
      <c r="H38" s="197">
        <f>F38*G38</f>
        <v>0</v>
      </c>
      <c r="J38" s="123"/>
    </row>
    <row r="39" spans="1:10" s="114" customFormat="1" ht="13.5" customHeight="1">
      <c r="A39" s="204"/>
      <c r="B39" s="201"/>
      <c r="C39" s="201"/>
      <c r="D39" s="201" t="s">
        <v>563</v>
      </c>
      <c r="E39" s="201"/>
      <c r="F39" s="205">
        <v>1</v>
      </c>
      <c r="G39" s="681"/>
      <c r="H39" s="206"/>
      <c r="J39" s="117"/>
    </row>
    <row r="40" spans="1:10" s="114" customFormat="1" ht="13.5" customHeight="1">
      <c r="A40" s="204"/>
      <c r="B40" s="201"/>
      <c r="C40" s="201"/>
      <c r="D40" s="201" t="s">
        <v>564</v>
      </c>
      <c r="E40" s="201"/>
      <c r="F40" s="205"/>
      <c r="G40" s="681"/>
      <c r="H40" s="206"/>
      <c r="J40" s="117"/>
    </row>
    <row r="41" spans="1:10" s="114" customFormat="1" ht="13.5" customHeight="1">
      <c r="A41" s="194">
        <v>15</v>
      </c>
      <c r="B41" s="195">
        <v>766</v>
      </c>
      <c r="C41" s="195" t="s">
        <v>567</v>
      </c>
      <c r="D41" s="195" t="s">
        <v>568</v>
      </c>
      <c r="E41" s="195" t="s">
        <v>25</v>
      </c>
      <c r="F41" s="196">
        <f>F42</f>
        <v>33</v>
      </c>
      <c r="G41" s="672"/>
      <c r="H41" s="197">
        <f>F41*G41</f>
        <v>0</v>
      </c>
      <c r="J41" s="123"/>
    </row>
    <row r="42" spans="1:10" s="114" customFormat="1" ht="13.5" customHeight="1">
      <c r="A42" s="204"/>
      <c r="B42" s="201"/>
      <c r="C42" s="201"/>
      <c r="D42" s="201" t="s">
        <v>563</v>
      </c>
      <c r="E42" s="201"/>
      <c r="F42" s="205">
        <v>33</v>
      </c>
      <c r="G42" s="681"/>
      <c r="H42" s="206"/>
      <c r="J42" s="117"/>
    </row>
    <row r="43" spans="1:10" s="114" customFormat="1" ht="13.5" customHeight="1">
      <c r="A43" s="204"/>
      <c r="B43" s="201"/>
      <c r="C43" s="201"/>
      <c r="D43" s="201" t="s">
        <v>564</v>
      </c>
      <c r="E43" s="201"/>
      <c r="F43" s="205"/>
      <c r="G43" s="681"/>
      <c r="H43" s="206"/>
      <c r="J43" s="117"/>
    </row>
    <row r="44" spans="1:10" s="114" customFormat="1" ht="13.5" customHeight="1">
      <c r="A44" s="194">
        <v>16</v>
      </c>
      <c r="B44" s="195">
        <v>766</v>
      </c>
      <c r="C44" s="195" t="s">
        <v>569</v>
      </c>
      <c r="D44" s="195" t="s">
        <v>570</v>
      </c>
      <c r="E44" s="195" t="s">
        <v>25</v>
      </c>
      <c r="F44" s="196">
        <f>F45</f>
        <v>3</v>
      </c>
      <c r="G44" s="672"/>
      <c r="H44" s="197">
        <f>F44*G44</f>
        <v>0</v>
      </c>
      <c r="J44" s="123"/>
    </row>
    <row r="45" spans="1:10" s="114" customFormat="1" ht="13.5" customHeight="1">
      <c r="A45" s="204"/>
      <c r="B45" s="201"/>
      <c r="C45" s="201"/>
      <c r="D45" s="201" t="s">
        <v>563</v>
      </c>
      <c r="E45" s="201"/>
      <c r="F45" s="205">
        <v>3</v>
      </c>
      <c r="G45" s="681"/>
      <c r="H45" s="206"/>
      <c r="J45" s="117"/>
    </row>
    <row r="46" spans="1:10" s="114" customFormat="1" ht="13.5" customHeight="1">
      <c r="A46" s="204"/>
      <c r="B46" s="201"/>
      <c r="C46" s="201"/>
      <c r="D46" s="201" t="s">
        <v>564</v>
      </c>
      <c r="E46" s="201"/>
      <c r="F46" s="205"/>
      <c r="G46" s="681"/>
      <c r="H46" s="206"/>
      <c r="J46" s="117"/>
    </row>
    <row r="47" spans="1:10" s="114" customFormat="1" ht="13.5" customHeight="1">
      <c r="A47" s="194">
        <v>17</v>
      </c>
      <c r="B47" s="195">
        <v>766</v>
      </c>
      <c r="C47" s="195" t="s">
        <v>571</v>
      </c>
      <c r="D47" s="195" t="s">
        <v>572</v>
      </c>
      <c r="E47" s="195" t="s">
        <v>25</v>
      </c>
      <c r="F47" s="196">
        <f>F48</f>
        <v>3</v>
      </c>
      <c r="G47" s="672"/>
      <c r="H47" s="197">
        <f>F47*G47</f>
        <v>0</v>
      </c>
      <c r="J47" s="123"/>
    </row>
    <row r="48" spans="1:10" s="114" customFormat="1" ht="13.5" customHeight="1">
      <c r="A48" s="204"/>
      <c r="B48" s="201"/>
      <c r="C48" s="201"/>
      <c r="D48" s="201" t="s">
        <v>563</v>
      </c>
      <c r="E48" s="201"/>
      <c r="F48" s="205">
        <v>3</v>
      </c>
      <c r="G48" s="681"/>
      <c r="H48" s="206"/>
      <c r="J48" s="117"/>
    </row>
    <row r="49" spans="1:10" s="114" customFormat="1" ht="13.5" customHeight="1">
      <c r="A49" s="204"/>
      <c r="B49" s="201"/>
      <c r="C49" s="201"/>
      <c r="D49" s="201" t="s">
        <v>564</v>
      </c>
      <c r="E49" s="201"/>
      <c r="F49" s="205"/>
      <c r="G49" s="681"/>
      <c r="H49" s="206"/>
      <c r="J49" s="117"/>
    </row>
    <row r="50" spans="1:10" s="114" customFormat="1" ht="13.5" customHeight="1">
      <c r="A50" s="194">
        <v>18</v>
      </c>
      <c r="B50" s="195">
        <v>766</v>
      </c>
      <c r="C50" s="195" t="s">
        <v>580</v>
      </c>
      <c r="D50" s="195" t="s">
        <v>581</v>
      </c>
      <c r="E50" s="195" t="s">
        <v>25</v>
      </c>
      <c r="F50" s="196">
        <f>F51</f>
        <v>1</v>
      </c>
      <c r="G50" s="672"/>
      <c r="H50" s="197">
        <f>F50*G50</f>
        <v>0</v>
      </c>
      <c r="J50" s="123"/>
    </row>
    <row r="51" spans="1:10" s="114" customFormat="1" ht="13.5" customHeight="1">
      <c r="A51" s="204"/>
      <c r="B51" s="201"/>
      <c r="C51" s="201"/>
      <c r="D51" s="201" t="s">
        <v>563</v>
      </c>
      <c r="E51" s="201"/>
      <c r="F51" s="205">
        <v>1</v>
      </c>
      <c r="G51" s="681"/>
      <c r="H51" s="206"/>
      <c r="J51" s="117"/>
    </row>
    <row r="52" spans="1:10" s="114" customFormat="1" ht="13.5" customHeight="1">
      <c r="A52" s="204"/>
      <c r="B52" s="201"/>
      <c r="C52" s="201"/>
      <c r="D52" s="201" t="s">
        <v>564</v>
      </c>
      <c r="E52" s="201"/>
      <c r="F52" s="205"/>
      <c r="G52" s="681"/>
      <c r="H52" s="206"/>
      <c r="J52" s="117"/>
    </row>
    <row r="53" spans="1:10" s="114" customFormat="1" ht="13.5" customHeight="1">
      <c r="A53" s="194">
        <v>19</v>
      </c>
      <c r="B53" s="195">
        <v>766</v>
      </c>
      <c r="C53" s="195" t="s">
        <v>582</v>
      </c>
      <c r="D53" s="195" t="s">
        <v>583</v>
      </c>
      <c r="E53" s="195" t="s">
        <v>25</v>
      </c>
      <c r="F53" s="196">
        <f>F54</f>
        <v>4</v>
      </c>
      <c r="G53" s="672"/>
      <c r="H53" s="197">
        <f>F53*G53</f>
        <v>0</v>
      </c>
      <c r="J53" s="123"/>
    </row>
    <row r="54" spans="1:10" s="114" customFormat="1" ht="13.5" customHeight="1">
      <c r="A54" s="204"/>
      <c r="B54" s="201"/>
      <c r="C54" s="201"/>
      <c r="D54" s="201" t="s">
        <v>563</v>
      </c>
      <c r="E54" s="201"/>
      <c r="F54" s="205">
        <v>4</v>
      </c>
      <c r="G54" s="681"/>
      <c r="H54" s="206"/>
      <c r="J54" s="117"/>
    </row>
    <row r="55" spans="1:10" s="114" customFormat="1" ht="13.5" customHeight="1">
      <c r="A55" s="204"/>
      <c r="B55" s="201"/>
      <c r="C55" s="201"/>
      <c r="D55" s="201" t="s">
        <v>564</v>
      </c>
      <c r="E55" s="201"/>
      <c r="F55" s="205"/>
      <c r="G55" s="681"/>
      <c r="H55" s="206"/>
      <c r="J55" s="117"/>
    </row>
    <row r="56" spans="1:10" s="114" customFormat="1" ht="13.5" customHeight="1">
      <c r="A56" s="194">
        <v>20</v>
      </c>
      <c r="B56" s="195">
        <v>766</v>
      </c>
      <c r="C56" s="195" t="s">
        <v>584</v>
      </c>
      <c r="D56" s="195" t="s">
        <v>585</v>
      </c>
      <c r="E56" s="195" t="s">
        <v>25</v>
      </c>
      <c r="F56" s="196">
        <f>F57</f>
        <v>1</v>
      </c>
      <c r="G56" s="672"/>
      <c r="H56" s="197">
        <f>F56*G56</f>
        <v>0</v>
      </c>
      <c r="J56" s="123"/>
    </row>
    <row r="57" spans="1:10" s="114" customFormat="1" ht="13.5" customHeight="1">
      <c r="A57" s="204"/>
      <c r="B57" s="201"/>
      <c r="C57" s="201"/>
      <c r="D57" s="201" t="s">
        <v>563</v>
      </c>
      <c r="E57" s="201"/>
      <c r="F57" s="205">
        <v>1</v>
      </c>
      <c r="G57" s="681"/>
      <c r="H57" s="206"/>
      <c r="J57" s="117"/>
    </row>
    <row r="58" spans="1:10" s="114" customFormat="1" ht="13.5" customHeight="1">
      <c r="A58" s="204"/>
      <c r="B58" s="201"/>
      <c r="C58" s="201"/>
      <c r="D58" s="201" t="s">
        <v>564</v>
      </c>
      <c r="E58" s="201"/>
      <c r="F58" s="205"/>
      <c r="G58" s="681"/>
      <c r="H58" s="206"/>
      <c r="J58" s="117"/>
    </row>
    <row r="59" spans="1:10" s="114" customFormat="1" ht="13.5" customHeight="1">
      <c r="A59" s="194">
        <v>21</v>
      </c>
      <c r="B59" s="195">
        <v>766</v>
      </c>
      <c r="C59" s="195" t="s">
        <v>586</v>
      </c>
      <c r="D59" s="195" t="s">
        <v>587</v>
      </c>
      <c r="E59" s="195" t="s">
        <v>25</v>
      </c>
      <c r="F59" s="196">
        <f>F60</f>
        <v>2</v>
      </c>
      <c r="G59" s="672"/>
      <c r="H59" s="197">
        <f>F59*G59</f>
        <v>0</v>
      </c>
      <c r="J59" s="123"/>
    </row>
    <row r="60" spans="1:10" s="114" customFormat="1" ht="13.5" customHeight="1">
      <c r="A60" s="204"/>
      <c r="B60" s="201"/>
      <c r="C60" s="201"/>
      <c r="D60" s="201" t="s">
        <v>563</v>
      </c>
      <c r="E60" s="201"/>
      <c r="F60" s="205">
        <v>2</v>
      </c>
      <c r="G60" s="681"/>
      <c r="H60" s="206"/>
      <c r="J60" s="117"/>
    </row>
    <row r="61" spans="1:10" s="114" customFormat="1" ht="13.5" customHeight="1">
      <c r="A61" s="204"/>
      <c r="B61" s="201"/>
      <c r="C61" s="201"/>
      <c r="D61" s="201" t="s">
        <v>564</v>
      </c>
      <c r="E61" s="201"/>
      <c r="F61" s="205"/>
      <c r="G61" s="681"/>
      <c r="H61" s="206"/>
      <c r="J61" s="117"/>
    </row>
    <row r="62" spans="1:10" s="114" customFormat="1" ht="13.5" customHeight="1">
      <c r="A62" s="194">
        <v>22</v>
      </c>
      <c r="B62" s="195">
        <v>766</v>
      </c>
      <c r="C62" s="195" t="s">
        <v>588</v>
      </c>
      <c r="D62" s="195" t="s">
        <v>589</v>
      </c>
      <c r="E62" s="195" t="s">
        <v>25</v>
      </c>
      <c r="F62" s="196">
        <f>F63</f>
        <v>4</v>
      </c>
      <c r="G62" s="672"/>
      <c r="H62" s="197">
        <f>F62*G62</f>
        <v>0</v>
      </c>
      <c r="J62" s="123"/>
    </row>
    <row r="63" spans="1:10" s="114" customFormat="1" ht="13.5" customHeight="1">
      <c r="A63" s="204"/>
      <c r="B63" s="201"/>
      <c r="C63" s="201"/>
      <c r="D63" s="201" t="s">
        <v>563</v>
      </c>
      <c r="E63" s="201"/>
      <c r="F63" s="205">
        <v>4</v>
      </c>
      <c r="G63" s="681"/>
      <c r="H63" s="206"/>
      <c r="J63" s="117"/>
    </row>
    <row r="64" spans="1:10" s="114" customFormat="1" ht="13.5" customHeight="1">
      <c r="A64" s="204"/>
      <c r="B64" s="201"/>
      <c r="C64" s="201"/>
      <c r="D64" s="201" t="s">
        <v>564</v>
      </c>
      <c r="E64" s="201"/>
      <c r="F64" s="205"/>
      <c r="G64" s="681"/>
      <c r="H64" s="206"/>
      <c r="J64" s="117"/>
    </row>
    <row r="65" spans="1:10" s="114" customFormat="1" ht="13.5" customHeight="1">
      <c r="A65" s="194">
        <v>23</v>
      </c>
      <c r="B65" s="195">
        <v>766</v>
      </c>
      <c r="C65" s="195" t="s">
        <v>590</v>
      </c>
      <c r="D65" s="195" t="s">
        <v>591</v>
      </c>
      <c r="E65" s="195" t="s">
        <v>25</v>
      </c>
      <c r="F65" s="196">
        <f>F66</f>
        <v>1</v>
      </c>
      <c r="G65" s="672"/>
      <c r="H65" s="197">
        <f>F65*G65</f>
        <v>0</v>
      </c>
      <c r="J65" s="123"/>
    </row>
    <row r="66" spans="1:10" s="114" customFormat="1" ht="13.5" customHeight="1">
      <c r="A66" s="204"/>
      <c r="B66" s="201"/>
      <c r="C66" s="201"/>
      <c r="D66" s="201" t="s">
        <v>563</v>
      </c>
      <c r="E66" s="201"/>
      <c r="F66" s="205">
        <v>1</v>
      </c>
      <c r="G66" s="681"/>
      <c r="H66" s="206"/>
      <c r="J66" s="117"/>
    </row>
    <row r="67" spans="1:10" s="114" customFormat="1" ht="13.5" customHeight="1">
      <c r="A67" s="204"/>
      <c r="B67" s="201"/>
      <c r="C67" s="201"/>
      <c r="D67" s="201" t="s">
        <v>564</v>
      </c>
      <c r="E67" s="201"/>
      <c r="F67" s="205"/>
      <c r="G67" s="681"/>
      <c r="H67" s="206"/>
      <c r="J67" s="117"/>
    </row>
    <row r="68" spans="1:10" s="114" customFormat="1" ht="13.5" customHeight="1">
      <c r="A68" s="194">
        <v>24</v>
      </c>
      <c r="B68" s="195">
        <v>766</v>
      </c>
      <c r="C68" s="195" t="s">
        <v>592</v>
      </c>
      <c r="D68" s="195" t="s">
        <v>593</v>
      </c>
      <c r="E68" s="195" t="s">
        <v>25</v>
      </c>
      <c r="F68" s="196">
        <f>F69</f>
        <v>1</v>
      </c>
      <c r="G68" s="672"/>
      <c r="H68" s="197">
        <f>F68*G68</f>
        <v>0</v>
      </c>
      <c r="J68" s="123"/>
    </row>
    <row r="69" spans="1:10" s="114" customFormat="1" ht="13.5" customHeight="1">
      <c r="A69" s="204"/>
      <c r="B69" s="201"/>
      <c r="C69" s="201"/>
      <c r="D69" s="201" t="s">
        <v>563</v>
      </c>
      <c r="E69" s="201"/>
      <c r="F69" s="205">
        <v>1</v>
      </c>
      <c r="G69" s="681"/>
      <c r="H69" s="206"/>
      <c r="J69" s="117"/>
    </row>
    <row r="70" spans="1:10" s="114" customFormat="1" ht="13.5" customHeight="1">
      <c r="A70" s="204"/>
      <c r="B70" s="201"/>
      <c r="C70" s="201"/>
      <c r="D70" s="201" t="s">
        <v>564</v>
      </c>
      <c r="E70" s="201"/>
      <c r="F70" s="205"/>
      <c r="G70" s="681"/>
      <c r="H70" s="206"/>
      <c r="J70" s="117"/>
    </row>
    <row r="71" spans="1:10" s="114" customFormat="1" ht="13.5" customHeight="1">
      <c r="A71" s="194">
        <v>25</v>
      </c>
      <c r="B71" s="195">
        <v>766</v>
      </c>
      <c r="C71" s="195" t="s">
        <v>594</v>
      </c>
      <c r="D71" s="195" t="s">
        <v>595</v>
      </c>
      <c r="E71" s="195" t="s">
        <v>25</v>
      </c>
      <c r="F71" s="196">
        <f>F72</f>
        <v>1</v>
      </c>
      <c r="G71" s="672"/>
      <c r="H71" s="197">
        <f>F71*G71</f>
        <v>0</v>
      </c>
      <c r="J71" s="123"/>
    </row>
    <row r="72" spans="1:10" s="114" customFormat="1" ht="13.5" customHeight="1">
      <c r="A72" s="204"/>
      <c r="B72" s="201"/>
      <c r="C72" s="201"/>
      <c r="D72" s="201" t="s">
        <v>563</v>
      </c>
      <c r="E72" s="201"/>
      <c r="F72" s="205">
        <v>1</v>
      </c>
      <c r="G72" s="681"/>
      <c r="H72" s="206"/>
      <c r="J72" s="117"/>
    </row>
    <row r="73" spans="1:10" s="114" customFormat="1" ht="13.5" customHeight="1">
      <c r="A73" s="204"/>
      <c r="B73" s="201"/>
      <c r="C73" s="201"/>
      <c r="D73" s="201" t="s">
        <v>564</v>
      </c>
      <c r="E73" s="201"/>
      <c r="F73" s="205"/>
      <c r="G73" s="681"/>
      <c r="H73" s="206"/>
      <c r="J73" s="117"/>
    </row>
    <row r="74" spans="1:10" s="114" customFormat="1" ht="13.5" customHeight="1">
      <c r="A74" s="194">
        <v>26</v>
      </c>
      <c r="B74" s="195">
        <v>766</v>
      </c>
      <c r="C74" s="195" t="s">
        <v>596</v>
      </c>
      <c r="D74" s="195" t="s">
        <v>597</v>
      </c>
      <c r="E74" s="195" t="s">
        <v>25</v>
      </c>
      <c r="F74" s="196">
        <f>F75</f>
        <v>1</v>
      </c>
      <c r="G74" s="672"/>
      <c r="H74" s="197">
        <f>F74*G74</f>
        <v>0</v>
      </c>
      <c r="J74" s="123"/>
    </row>
    <row r="75" spans="1:10" s="114" customFormat="1" ht="13.5" customHeight="1">
      <c r="A75" s="204"/>
      <c r="B75" s="201"/>
      <c r="C75" s="201"/>
      <c r="D75" s="201" t="s">
        <v>563</v>
      </c>
      <c r="E75" s="201"/>
      <c r="F75" s="205">
        <v>1</v>
      </c>
      <c r="G75" s="681"/>
      <c r="H75" s="206"/>
      <c r="J75" s="117"/>
    </row>
    <row r="76" spans="1:10" s="114" customFormat="1" ht="13.5" customHeight="1">
      <c r="A76" s="204"/>
      <c r="B76" s="201"/>
      <c r="C76" s="201"/>
      <c r="D76" s="201" t="s">
        <v>564</v>
      </c>
      <c r="E76" s="201"/>
      <c r="F76" s="205"/>
      <c r="G76" s="681"/>
      <c r="H76" s="206"/>
      <c r="J76" s="117"/>
    </row>
    <row r="77" spans="1:10" s="114" customFormat="1" ht="13.5" customHeight="1">
      <c r="A77" s="194">
        <v>27</v>
      </c>
      <c r="B77" s="195">
        <v>998</v>
      </c>
      <c r="C77" s="195">
        <v>998766202</v>
      </c>
      <c r="D77" s="195" t="s">
        <v>601</v>
      </c>
      <c r="E77" s="195" t="s">
        <v>10</v>
      </c>
      <c r="F77" s="196">
        <v>1.08</v>
      </c>
      <c r="G77" s="672"/>
      <c r="H77" s="197">
        <f>F77*G77</f>
        <v>0</v>
      </c>
      <c r="J77" s="123"/>
    </row>
    <row r="78" spans="1:10" s="114" customFormat="1" ht="13.5" customHeight="1">
      <c r="A78" s="194">
        <v>28</v>
      </c>
      <c r="B78" s="195">
        <v>766</v>
      </c>
      <c r="C78" s="195" t="s">
        <v>602</v>
      </c>
      <c r="D78" s="195" t="s">
        <v>603</v>
      </c>
      <c r="E78" s="195" t="s">
        <v>25</v>
      </c>
      <c r="F78" s="196">
        <v>1</v>
      </c>
      <c r="G78" s="672"/>
      <c r="H78" s="197">
        <f>F78*G78</f>
        <v>0</v>
      </c>
      <c r="J78" s="123"/>
    </row>
    <row r="79" spans="1:10" s="114" customFormat="1" ht="27" customHeight="1">
      <c r="A79" s="204"/>
      <c r="B79" s="201"/>
      <c r="C79" s="201"/>
      <c r="D79" s="201" t="s">
        <v>213</v>
      </c>
      <c r="E79" s="201"/>
      <c r="F79" s="205">
        <v>1</v>
      </c>
      <c r="G79" s="681"/>
      <c r="H79" s="206"/>
      <c r="J79" s="117"/>
    </row>
    <row r="80" spans="1:8" ht="15" customHeight="1">
      <c r="A80" s="225"/>
      <c r="B80" s="226"/>
      <c r="C80" s="226">
        <v>767</v>
      </c>
      <c r="D80" s="226" t="s">
        <v>604</v>
      </c>
      <c r="E80" s="226"/>
      <c r="F80" s="227"/>
      <c r="G80" s="682"/>
      <c r="H80" s="228">
        <f>SUM(H81:H92)</f>
        <v>0</v>
      </c>
    </row>
    <row r="81" spans="1:10" s="114" customFormat="1" ht="13.5" customHeight="1">
      <c r="A81" s="194">
        <v>29</v>
      </c>
      <c r="B81" s="195">
        <v>766</v>
      </c>
      <c r="C81" s="195" t="s">
        <v>648</v>
      </c>
      <c r="D81" s="195" t="s">
        <v>649</v>
      </c>
      <c r="E81" s="195" t="s">
        <v>25</v>
      </c>
      <c r="F81" s="196">
        <f>F82</f>
        <v>1</v>
      </c>
      <c r="G81" s="672"/>
      <c r="H81" s="197">
        <f>F81*G81</f>
        <v>0</v>
      </c>
      <c r="J81" s="123"/>
    </row>
    <row r="82" spans="1:10" s="114" customFormat="1" ht="13.5" customHeight="1">
      <c r="A82" s="204"/>
      <c r="B82" s="201"/>
      <c r="C82" s="201"/>
      <c r="D82" s="201" t="s">
        <v>650</v>
      </c>
      <c r="E82" s="201"/>
      <c r="F82" s="205">
        <v>1</v>
      </c>
      <c r="G82" s="681"/>
      <c r="H82" s="206"/>
      <c r="J82" s="117"/>
    </row>
    <row r="83" spans="1:10" s="114" customFormat="1" ht="13.5" customHeight="1">
      <c r="A83" s="204"/>
      <c r="B83" s="201"/>
      <c r="C83" s="201"/>
      <c r="D83" s="201" t="s">
        <v>564</v>
      </c>
      <c r="E83" s="201"/>
      <c r="F83" s="205"/>
      <c r="G83" s="681"/>
      <c r="H83" s="206"/>
      <c r="J83" s="117"/>
    </row>
    <row r="84" spans="1:10" s="114" customFormat="1" ht="13.5" customHeight="1">
      <c r="A84" s="194">
        <v>30</v>
      </c>
      <c r="B84" s="195">
        <v>766</v>
      </c>
      <c r="C84" s="195" t="s">
        <v>651</v>
      </c>
      <c r="D84" s="195" t="s">
        <v>652</v>
      </c>
      <c r="E84" s="195" t="s">
        <v>25</v>
      </c>
      <c r="F84" s="196">
        <f>F85</f>
        <v>1</v>
      </c>
      <c r="G84" s="672"/>
      <c r="H84" s="197">
        <f>F84*G84</f>
        <v>0</v>
      </c>
      <c r="J84" s="123"/>
    </row>
    <row r="85" spans="1:10" s="114" customFormat="1" ht="13.5" customHeight="1">
      <c r="A85" s="204"/>
      <c r="B85" s="201"/>
      <c r="C85" s="201"/>
      <c r="D85" s="201" t="s">
        <v>653</v>
      </c>
      <c r="E85" s="201"/>
      <c r="F85" s="205">
        <v>1</v>
      </c>
      <c r="G85" s="681"/>
      <c r="H85" s="206"/>
      <c r="J85" s="117"/>
    </row>
    <row r="86" spans="1:10" s="114" customFormat="1" ht="13.5" customHeight="1">
      <c r="A86" s="204"/>
      <c r="B86" s="201"/>
      <c r="C86" s="201"/>
      <c r="D86" s="201" t="s">
        <v>564</v>
      </c>
      <c r="E86" s="201"/>
      <c r="F86" s="205"/>
      <c r="G86" s="681"/>
      <c r="H86" s="206"/>
      <c r="J86" s="117"/>
    </row>
    <row r="87" spans="1:10" s="114" customFormat="1" ht="13.5" customHeight="1">
      <c r="A87" s="194">
        <v>31</v>
      </c>
      <c r="B87" s="195">
        <v>766</v>
      </c>
      <c r="C87" s="195" t="s">
        <v>657</v>
      </c>
      <c r="D87" s="195" t="s">
        <v>658</v>
      </c>
      <c r="E87" s="195" t="s">
        <v>25</v>
      </c>
      <c r="F87" s="196">
        <f>F88</f>
        <v>1</v>
      </c>
      <c r="G87" s="672"/>
      <c r="H87" s="197">
        <f>F87*G87</f>
        <v>0</v>
      </c>
      <c r="J87" s="123"/>
    </row>
    <row r="88" spans="1:10" s="114" customFormat="1" ht="13.5" customHeight="1">
      <c r="A88" s="204"/>
      <c r="B88" s="201"/>
      <c r="C88" s="201"/>
      <c r="D88" s="201" t="s">
        <v>659</v>
      </c>
      <c r="E88" s="201"/>
      <c r="F88" s="205">
        <v>1</v>
      </c>
      <c r="G88" s="681"/>
      <c r="H88" s="206"/>
      <c r="J88" s="117"/>
    </row>
    <row r="89" spans="1:10" s="114" customFormat="1" ht="13.5" customHeight="1">
      <c r="A89" s="204"/>
      <c r="B89" s="201"/>
      <c r="C89" s="201"/>
      <c r="D89" s="201" t="s">
        <v>564</v>
      </c>
      <c r="E89" s="201"/>
      <c r="F89" s="205"/>
      <c r="G89" s="681"/>
      <c r="H89" s="206"/>
      <c r="J89" s="117"/>
    </row>
    <row r="90" spans="1:10" s="114" customFormat="1" ht="13.5" customHeight="1">
      <c r="A90" s="194">
        <v>32</v>
      </c>
      <c r="B90" s="195">
        <v>998</v>
      </c>
      <c r="C90" s="195">
        <v>998767202</v>
      </c>
      <c r="D90" s="195" t="s">
        <v>682</v>
      </c>
      <c r="E90" s="195" t="s">
        <v>10</v>
      </c>
      <c r="F90" s="196">
        <v>1.79</v>
      </c>
      <c r="G90" s="672"/>
      <c r="H90" s="197">
        <f>F90*G90</f>
        <v>0</v>
      </c>
      <c r="J90" s="123"/>
    </row>
    <row r="91" spans="1:10" s="114" customFormat="1" ht="13.5" customHeight="1">
      <c r="A91" s="194">
        <v>33</v>
      </c>
      <c r="B91" s="195">
        <v>767</v>
      </c>
      <c r="C91" s="195" t="s">
        <v>683</v>
      </c>
      <c r="D91" s="195" t="s">
        <v>684</v>
      </c>
      <c r="E91" s="195" t="s">
        <v>25</v>
      </c>
      <c r="F91" s="196">
        <v>1</v>
      </c>
      <c r="G91" s="672"/>
      <c r="H91" s="197">
        <f>F91*G91</f>
        <v>0</v>
      </c>
      <c r="J91" s="123"/>
    </row>
    <row r="92" spans="1:10" s="114" customFormat="1" ht="27" customHeight="1">
      <c r="A92" s="204"/>
      <c r="B92" s="201"/>
      <c r="C92" s="201"/>
      <c r="D92" s="201" t="s">
        <v>213</v>
      </c>
      <c r="E92" s="201"/>
      <c r="F92" s="205">
        <v>1</v>
      </c>
      <c r="G92" s="681"/>
      <c r="H92" s="206"/>
      <c r="J92" s="117"/>
    </row>
    <row r="93" spans="1:8" ht="15" customHeight="1">
      <c r="A93" s="225"/>
      <c r="B93" s="226"/>
      <c r="C93" s="226">
        <v>772</v>
      </c>
      <c r="D93" s="226" t="s">
        <v>703</v>
      </c>
      <c r="E93" s="226"/>
      <c r="F93" s="227"/>
      <c r="G93" s="682"/>
      <c r="H93" s="228">
        <f>SUM(H94:H100)</f>
        <v>0</v>
      </c>
    </row>
    <row r="94" spans="1:10" s="114" customFormat="1" ht="13.5" customHeight="1">
      <c r="A94" s="194">
        <v>34</v>
      </c>
      <c r="B94" s="195">
        <v>772</v>
      </c>
      <c r="C94" s="195">
        <v>772231316</v>
      </c>
      <c r="D94" s="195" t="s">
        <v>704</v>
      </c>
      <c r="E94" s="195" t="s">
        <v>139</v>
      </c>
      <c r="F94" s="196">
        <f>SUM(F95:F96)</f>
        <v>5.6</v>
      </c>
      <c r="G94" s="672"/>
      <c r="H94" s="197">
        <f>F94*G94</f>
        <v>0</v>
      </c>
      <c r="J94" s="123"/>
    </row>
    <row r="95" spans="1:10" s="114" customFormat="1" ht="13.5" customHeight="1">
      <c r="A95" s="204"/>
      <c r="B95" s="201"/>
      <c r="C95" s="201"/>
      <c r="D95" s="201" t="s">
        <v>705</v>
      </c>
      <c r="E95" s="201"/>
      <c r="F95" s="205">
        <v>2.7</v>
      </c>
      <c r="G95" s="681"/>
      <c r="H95" s="206"/>
      <c r="J95" s="117"/>
    </row>
    <row r="96" spans="1:10" s="114" customFormat="1" ht="13.5" customHeight="1">
      <c r="A96" s="204"/>
      <c r="B96" s="201"/>
      <c r="C96" s="201"/>
      <c r="D96" s="201" t="s">
        <v>706</v>
      </c>
      <c r="E96" s="201"/>
      <c r="F96" s="205">
        <v>2.9</v>
      </c>
      <c r="G96" s="681"/>
      <c r="H96" s="206"/>
      <c r="J96" s="117"/>
    </row>
    <row r="97" spans="1:10" s="116" customFormat="1" ht="13.5" customHeight="1">
      <c r="A97" s="229">
        <v>35</v>
      </c>
      <c r="B97" s="230">
        <v>583</v>
      </c>
      <c r="C97" s="230">
        <v>58387035</v>
      </c>
      <c r="D97" s="230" t="s">
        <v>707</v>
      </c>
      <c r="E97" s="230" t="s">
        <v>139</v>
      </c>
      <c r="F97" s="231">
        <v>4.6</v>
      </c>
      <c r="G97" s="684"/>
      <c r="H97" s="232">
        <f>F97*G97</f>
        <v>0</v>
      </c>
      <c r="J97" s="109"/>
    </row>
    <row r="98" spans="1:10" s="114" customFormat="1" ht="13.5" customHeight="1">
      <c r="A98" s="194">
        <v>36</v>
      </c>
      <c r="B98" s="195">
        <v>998</v>
      </c>
      <c r="C98" s="195">
        <v>998772202</v>
      </c>
      <c r="D98" s="195" t="s">
        <v>708</v>
      </c>
      <c r="E98" s="195" t="s">
        <v>10</v>
      </c>
      <c r="F98" s="196">
        <v>5.11</v>
      </c>
      <c r="G98" s="672"/>
      <c r="H98" s="197">
        <f>F98*G98</f>
        <v>0</v>
      </c>
      <c r="J98" s="123"/>
    </row>
    <row r="99" spans="1:10" s="114" customFormat="1" ht="13.5" customHeight="1">
      <c r="A99" s="194">
        <v>37</v>
      </c>
      <c r="B99" s="195">
        <v>772</v>
      </c>
      <c r="C99" s="195" t="s">
        <v>709</v>
      </c>
      <c r="D99" s="195" t="s">
        <v>710</v>
      </c>
      <c r="E99" s="195" t="s">
        <v>25</v>
      </c>
      <c r="F99" s="196">
        <v>1</v>
      </c>
      <c r="G99" s="672"/>
      <c r="H99" s="197">
        <f>F99*G99</f>
        <v>0</v>
      </c>
      <c r="J99" s="123"/>
    </row>
    <row r="100" spans="1:10" s="114" customFormat="1" ht="27" customHeight="1">
      <c r="A100" s="204"/>
      <c r="B100" s="201"/>
      <c r="C100" s="201"/>
      <c r="D100" s="201" t="s">
        <v>213</v>
      </c>
      <c r="E100" s="201"/>
      <c r="F100" s="205">
        <v>1</v>
      </c>
      <c r="G100" s="681"/>
      <c r="H100" s="206"/>
      <c r="J100" s="117"/>
    </row>
    <row r="101" spans="1:8" ht="15" customHeight="1">
      <c r="A101" s="225"/>
      <c r="B101" s="226"/>
      <c r="C101" s="226">
        <v>783</v>
      </c>
      <c r="D101" s="226" t="s">
        <v>716</v>
      </c>
      <c r="E101" s="226"/>
      <c r="F101" s="227"/>
      <c r="G101" s="682"/>
      <c r="H101" s="228">
        <f>SUM(H102:H103)</f>
        <v>0</v>
      </c>
    </row>
    <row r="102" spans="1:10" s="114" customFormat="1" ht="13.5" customHeight="1">
      <c r="A102" s="194">
        <v>38</v>
      </c>
      <c r="B102" s="195">
        <v>783</v>
      </c>
      <c r="C102" s="195" t="s">
        <v>717</v>
      </c>
      <c r="D102" s="195" t="s">
        <v>718</v>
      </c>
      <c r="E102" s="195" t="s">
        <v>48</v>
      </c>
      <c r="F102" s="196">
        <f>F103</f>
        <v>1592</v>
      </c>
      <c r="G102" s="672"/>
      <c r="H102" s="197">
        <f>F102*G102</f>
        <v>0</v>
      </c>
      <c r="J102" s="123"/>
    </row>
    <row r="103" spans="1:10" s="114" customFormat="1" ht="13.5" customHeight="1">
      <c r="A103" s="194"/>
      <c r="B103" s="195"/>
      <c r="C103" s="195"/>
      <c r="D103" s="201" t="s">
        <v>1362</v>
      </c>
      <c r="E103" s="195"/>
      <c r="F103" s="202">
        <v>1592</v>
      </c>
      <c r="G103" s="672"/>
      <c r="H103" s="197"/>
      <c r="J103" s="123"/>
    </row>
    <row r="104" spans="1:8" ht="15" customHeight="1">
      <c r="A104" s="225"/>
      <c r="B104" s="226"/>
      <c r="C104" s="226">
        <v>784</v>
      </c>
      <c r="D104" s="226" t="s">
        <v>728</v>
      </c>
      <c r="E104" s="226"/>
      <c r="F104" s="227"/>
      <c r="G104" s="682"/>
      <c r="H104" s="228">
        <f>SUM(H105:H106)</f>
        <v>0</v>
      </c>
    </row>
    <row r="105" spans="1:10" s="114" customFormat="1" ht="27" customHeight="1">
      <c r="A105" s="194">
        <v>39</v>
      </c>
      <c r="B105" s="195">
        <v>783</v>
      </c>
      <c r="C105" s="195">
        <v>784211001</v>
      </c>
      <c r="D105" s="195" t="s">
        <v>729</v>
      </c>
      <c r="E105" s="195" t="s">
        <v>48</v>
      </c>
      <c r="F105" s="196">
        <f>F106</f>
        <v>732</v>
      </c>
      <c r="G105" s="672"/>
      <c r="H105" s="197">
        <f>F105*G105</f>
        <v>0</v>
      </c>
      <c r="J105" s="123"/>
    </row>
    <row r="106" spans="1:10" s="114" customFormat="1" ht="13.5" customHeight="1">
      <c r="A106" s="194"/>
      <c r="B106" s="195"/>
      <c r="C106" s="195"/>
      <c r="D106" s="201" t="s">
        <v>730</v>
      </c>
      <c r="E106" s="195"/>
      <c r="F106" s="202">
        <v>732</v>
      </c>
      <c r="G106" s="672"/>
      <c r="H106" s="197"/>
      <c r="J106" s="123"/>
    </row>
    <row r="107" spans="1:8" ht="15" customHeight="1">
      <c r="A107" s="225"/>
      <c r="B107" s="226"/>
      <c r="C107" s="226">
        <v>786</v>
      </c>
      <c r="D107" s="226" t="s">
        <v>731</v>
      </c>
      <c r="E107" s="226"/>
      <c r="F107" s="227"/>
      <c r="G107" s="682"/>
      <c r="H107" s="228">
        <f>SUM(H108:H149)</f>
        <v>0</v>
      </c>
    </row>
    <row r="108" spans="1:10" s="114" customFormat="1" ht="13.5" customHeight="1">
      <c r="A108" s="194">
        <v>40</v>
      </c>
      <c r="B108" s="195">
        <v>786</v>
      </c>
      <c r="C108" s="195" t="s">
        <v>732</v>
      </c>
      <c r="D108" s="195" t="s">
        <v>733</v>
      </c>
      <c r="E108" s="195" t="s">
        <v>25</v>
      </c>
      <c r="F108" s="196">
        <f>F109</f>
        <v>164</v>
      </c>
      <c r="G108" s="672"/>
      <c r="H108" s="197">
        <f>F108*G108</f>
        <v>0</v>
      </c>
      <c r="J108" s="123"/>
    </row>
    <row r="109" spans="1:10" s="114" customFormat="1" ht="13.5" customHeight="1">
      <c r="A109" s="194"/>
      <c r="B109" s="195"/>
      <c r="C109" s="195"/>
      <c r="D109" s="201" t="s">
        <v>734</v>
      </c>
      <c r="E109" s="195"/>
      <c r="F109" s="202">
        <f>282-118</f>
        <v>164</v>
      </c>
      <c r="G109" s="672"/>
      <c r="H109" s="197"/>
      <c r="J109" s="123"/>
    </row>
    <row r="110" spans="1:10" s="114" customFormat="1" ht="13.5" customHeight="1">
      <c r="A110" s="194"/>
      <c r="B110" s="195"/>
      <c r="C110" s="195"/>
      <c r="D110" s="201" t="s">
        <v>412</v>
      </c>
      <c r="E110" s="195"/>
      <c r="F110" s="202"/>
      <c r="G110" s="672"/>
      <c r="H110" s="197"/>
      <c r="J110" s="123"/>
    </row>
    <row r="111" spans="1:10" s="114" customFormat="1" ht="13.5" customHeight="1">
      <c r="A111" s="194">
        <v>41</v>
      </c>
      <c r="B111" s="195">
        <v>786</v>
      </c>
      <c r="C111" s="195" t="s">
        <v>735</v>
      </c>
      <c r="D111" s="195" t="s">
        <v>736</v>
      </c>
      <c r="E111" s="195" t="s">
        <v>25</v>
      </c>
      <c r="F111" s="196">
        <f>F112</f>
        <v>69</v>
      </c>
      <c r="G111" s="672"/>
      <c r="H111" s="197">
        <f>F111*G111</f>
        <v>0</v>
      </c>
      <c r="J111" s="123"/>
    </row>
    <row r="112" spans="1:10" s="114" customFormat="1" ht="13.5" customHeight="1">
      <c r="A112" s="194"/>
      <c r="B112" s="195"/>
      <c r="C112" s="195"/>
      <c r="D112" s="201" t="s">
        <v>734</v>
      </c>
      <c r="E112" s="195"/>
      <c r="F112" s="202">
        <f>81-12</f>
        <v>69</v>
      </c>
      <c r="G112" s="672"/>
      <c r="H112" s="197"/>
      <c r="J112" s="123"/>
    </row>
    <row r="113" spans="1:10" s="114" customFormat="1" ht="13.5" customHeight="1">
      <c r="A113" s="194"/>
      <c r="B113" s="195"/>
      <c r="C113" s="195"/>
      <c r="D113" s="201" t="s">
        <v>412</v>
      </c>
      <c r="E113" s="195"/>
      <c r="F113" s="202"/>
      <c r="G113" s="672"/>
      <c r="H113" s="197"/>
      <c r="J113" s="123"/>
    </row>
    <row r="114" spans="1:10" s="114" customFormat="1" ht="13.5" customHeight="1">
      <c r="A114" s="194">
        <v>42</v>
      </c>
      <c r="B114" s="195">
        <v>786</v>
      </c>
      <c r="C114" s="195" t="s">
        <v>737</v>
      </c>
      <c r="D114" s="195" t="s">
        <v>738</v>
      </c>
      <c r="E114" s="195" t="s">
        <v>25</v>
      </c>
      <c r="F114" s="196">
        <f>F115</f>
        <v>48</v>
      </c>
      <c r="G114" s="672"/>
      <c r="H114" s="197">
        <f>F114*G114</f>
        <v>0</v>
      </c>
      <c r="J114" s="123"/>
    </row>
    <row r="115" spans="1:10" s="114" customFormat="1" ht="13.5" customHeight="1">
      <c r="A115" s="194"/>
      <c r="B115" s="195"/>
      <c r="C115" s="195"/>
      <c r="D115" s="201" t="s">
        <v>734</v>
      </c>
      <c r="E115" s="195"/>
      <c r="F115" s="202">
        <f>68-20</f>
        <v>48</v>
      </c>
      <c r="G115" s="672"/>
      <c r="H115" s="197"/>
      <c r="J115" s="123"/>
    </row>
    <row r="116" spans="1:10" s="114" customFormat="1" ht="13.5" customHeight="1">
      <c r="A116" s="194"/>
      <c r="B116" s="195"/>
      <c r="C116" s="195"/>
      <c r="D116" s="201" t="s">
        <v>412</v>
      </c>
      <c r="E116" s="195"/>
      <c r="F116" s="202"/>
      <c r="G116" s="672"/>
      <c r="H116" s="197"/>
      <c r="J116" s="123"/>
    </row>
    <row r="117" spans="1:10" s="114" customFormat="1" ht="13.5" customHeight="1">
      <c r="A117" s="194">
        <v>43</v>
      </c>
      <c r="B117" s="195">
        <v>786</v>
      </c>
      <c r="C117" s="195" t="s">
        <v>739</v>
      </c>
      <c r="D117" s="195" t="s">
        <v>740</v>
      </c>
      <c r="E117" s="195" t="s">
        <v>25</v>
      </c>
      <c r="F117" s="196">
        <f>F118</f>
        <v>48</v>
      </c>
      <c r="G117" s="672"/>
      <c r="H117" s="197">
        <f>F117*G117</f>
        <v>0</v>
      </c>
      <c r="J117" s="123"/>
    </row>
    <row r="118" spans="1:10" s="114" customFormat="1" ht="13.5" customHeight="1">
      <c r="A118" s="194"/>
      <c r="B118" s="195"/>
      <c r="C118" s="195"/>
      <c r="D118" s="201" t="s">
        <v>734</v>
      </c>
      <c r="E118" s="195"/>
      <c r="F118" s="202">
        <f>68-20</f>
        <v>48</v>
      </c>
      <c r="G118" s="672"/>
      <c r="H118" s="197"/>
      <c r="J118" s="123"/>
    </row>
    <row r="119" spans="1:10" s="114" customFormat="1" ht="13.5" customHeight="1">
      <c r="A119" s="194"/>
      <c r="B119" s="195"/>
      <c r="C119" s="195"/>
      <c r="D119" s="201" t="s">
        <v>412</v>
      </c>
      <c r="E119" s="195"/>
      <c r="F119" s="202"/>
      <c r="G119" s="672"/>
      <c r="H119" s="197"/>
      <c r="J119" s="123"/>
    </row>
    <row r="120" spans="1:10" s="114" customFormat="1" ht="13.5" customHeight="1">
      <c r="A120" s="194">
        <v>44</v>
      </c>
      <c r="B120" s="195">
        <v>786</v>
      </c>
      <c r="C120" s="195" t="s">
        <v>741</v>
      </c>
      <c r="D120" s="195" t="s">
        <v>742</v>
      </c>
      <c r="E120" s="195" t="s">
        <v>25</v>
      </c>
      <c r="F120" s="196">
        <f>F121</f>
        <v>28</v>
      </c>
      <c r="G120" s="672"/>
      <c r="H120" s="197">
        <f>F120*G120</f>
        <v>0</v>
      </c>
      <c r="J120" s="123"/>
    </row>
    <row r="121" spans="1:10" s="114" customFormat="1" ht="13.5" customHeight="1">
      <c r="A121" s="194"/>
      <c r="B121" s="195"/>
      <c r="C121" s="195"/>
      <c r="D121" s="201" t="s">
        <v>734</v>
      </c>
      <c r="E121" s="195"/>
      <c r="F121" s="202">
        <v>28</v>
      </c>
      <c r="G121" s="672"/>
      <c r="H121" s="197"/>
      <c r="J121" s="123"/>
    </row>
    <row r="122" spans="1:10" s="114" customFormat="1" ht="13.5" customHeight="1">
      <c r="A122" s="194"/>
      <c r="B122" s="195"/>
      <c r="C122" s="195"/>
      <c r="D122" s="201" t="s">
        <v>412</v>
      </c>
      <c r="E122" s="195"/>
      <c r="F122" s="202"/>
      <c r="G122" s="672"/>
      <c r="H122" s="197"/>
      <c r="J122" s="123"/>
    </row>
    <row r="123" spans="1:10" s="114" customFormat="1" ht="13.5" customHeight="1">
      <c r="A123" s="194">
        <v>45</v>
      </c>
      <c r="B123" s="195">
        <v>786</v>
      </c>
      <c r="C123" s="195" t="s">
        <v>743</v>
      </c>
      <c r="D123" s="195" t="s">
        <v>744</v>
      </c>
      <c r="E123" s="195" t="s">
        <v>25</v>
      </c>
      <c r="F123" s="196">
        <f>F124</f>
        <v>28</v>
      </c>
      <c r="G123" s="672"/>
      <c r="H123" s="197">
        <f>F123*G123</f>
        <v>0</v>
      </c>
      <c r="J123" s="123"/>
    </row>
    <row r="124" spans="1:10" s="114" customFormat="1" ht="13.5" customHeight="1">
      <c r="A124" s="194"/>
      <c r="B124" s="195"/>
      <c r="C124" s="195"/>
      <c r="D124" s="201" t="s">
        <v>734</v>
      </c>
      <c r="E124" s="195"/>
      <c r="F124" s="202">
        <v>28</v>
      </c>
      <c r="G124" s="672"/>
      <c r="H124" s="197"/>
      <c r="J124" s="123"/>
    </row>
    <row r="125" spans="1:10" s="114" customFormat="1" ht="13.5" customHeight="1">
      <c r="A125" s="194"/>
      <c r="B125" s="195"/>
      <c r="C125" s="195"/>
      <c r="D125" s="201" t="s">
        <v>412</v>
      </c>
      <c r="E125" s="195"/>
      <c r="F125" s="202"/>
      <c r="G125" s="672"/>
      <c r="H125" s="197"/>
      <c r="J125" s="123"/>
    </row>
    <row r="126" spans="1:10" s="114" customFormat="1" ht="13.5" customHeight="1">
      <c r="A126" s="194">
        <v>46</v>
      </c>
      <c r="B126" s="195">
        <v>786</v>
      </c>
      <c r="C126" s="195" t="s">
        <v>745</v>
      </c>
      <c r="D126" s="195" t="s">
        <v>746</v>
      </c>
      <c r="E126" s="195" t="s">
        <v>25</v>
      </c>
      <c r="F126" s="196">
        <f>F127</f>
        <v>14</v>
      </c>
      <c r="G126" s="672"/>
      <c r="H126" s="197">
        <f>F126*G126</f>
        <v>0</v>
      </c>
      <c r="J126" s="123"/>
    </row>
    <row r="127" spans="1:10" s="114" customFormat="1" ht="13.5" customHeight="1">
      <c r="A127" s="194"/>
      <c r="B127" s="195"/>
      <c r="C127" s="195"/>
      <c r="D127" s="201" t="s">
        <v>734</v>
      </c>
      <c r="E127" s="195"/>
      <c r="F127" s="202">
        <v>14</v>
      </c>
      <c r="G127" s="672"/>
      <c r="H127" s="197"/>
      <c r="J127" s="123"/>
    </row>
    <row r="128" spans="1:10" s="114" customFormat="1" ht="13.5" customHeight="1">
      <c r="A128" s="194"/>
      <c r="B128" s="195"/>
      <c r="C128" s="195"/>
      <c r="D128" s="201" t="s">
        <v>412</v>
      </c>
      <c r="E128" s="195"/>
      <c r="F128" s="202"/>
      <c r="G128" s="672"/>
      <c r="H128" s="197"/>
      <c r="J128" s="123"/>
    </row>
    <row r="129" spans="1:10" s="114" customFormat="1" ht="13.5" customHeight="1">
      <c r="A129" s="194">
        <v>47</v>
      </c>
      <c r="B129" s="195">
        <v>786</v>
      </c>
      <c r="C129" s="195" t="s">
        <v>747</v>
      </c>
      <c r="D129" s="195" t="s">
        <v>748</v>
      </c>
      <c r="E129" s="195" t="s">
        <v>25</v>
      </c>
      <c r="F129" s="196">
        <f>F130</f>
        <v>14</v>
      </c>
      <c r="G129" s="672"/>
      <c r="H129" s="197">
        <f>F129*G129</f>
        <v>0</v>
      </c>
      <c r="J129" s="123"/>
    </row>
    <row r="130" spans="1:10" s="114" customFormat="1" ht="13.5" customHeight="1">
      <c r="A130" s="194"/>
      <c r="B130" s="195"/>
      <c r="C130" s="195"/>
      <c r="D130" s="201" t="s">
        <v>734</v>
      </c>
      <c r="E130" s="195"/>
      <c r="F130" s="202">
        <v>14</v>
      </c>
      <c r="G130" s="672"/>
      <c r="H130" s="197"/>
      <c r="J130" s="123"/>
    </row>
    <row r="131" spans="1:10" s="114" customFormat="1" ht="13.5" customHeight="1">
      <c r="A131" s="194"/>
      <c r="B131" s="195"/>
      <c r="C131" s="195"/>
      <c r="D131" s="201" t="s">
        <v>412</v>
      </c>
      <c r="E131" s="195"/>
      <c r="F131" s="202"/>
      <c r="G131" s="672"/>
      <c r="H131" s="197"/>
      <c r="J131" s="123"/>
    </row>
    <row r="132" spans="1:10" s="114" customFormat="1" ht="13.5" customHeight="1">
      <c r="A132" s="194">
        <v>48</v>
      </c>
      <c r="B132" s="195">
        <v>786</v>
      </c>
      <c r="C132" s="195" t="s">
        <v>749</v>
      </c>
      <c r="D132" s="195" t="s">
        <v>750</v>
      </c>
      <c r="E132" s="195" t="s">
        <v>25</v>
      </c>
      <c r="F132" s="196">
        <f>F133</f>
        <v>3</v>
      </c>
      <c r="G132" s="672"/>
      <c r="H132" s="197">
        <f>F132*G132</f>
        <v>0</v>
      </c>
      <c r="J132" s="123"/>
    </row>
    <row r="133" spans="1:10" s="114" customFormat="1" ht="13.5" customHeight="1">
      <c r="A133" s="194"/>
      <c r="B133" s="195"/>
      <c r="C133" s="195"/>
      <c r="D133" s="201" t="s">
        <v>734</v>
      </c>
      <c r="E133" s="195"/>
      <c r="F133" s="202">
        <v>3</v>
      </c>
      <c r="G133" s="672"/>
      <c r="H133" s="197"/>
      <c r="J133" s="123"/>
    </row>
    <row r="134" spans="1:10" s="114" customFormat="1" ht="13.5" customHeight="1">
      <c r="A134" s="194"/>
      <c r="B134" s="195"/>
      <c r="C134" s="195"/>
      <c r="D134" s="201" t="s">
        <v>412</v>
      </c>
      <c r="E134" s="195"/>
      <c r="F134" s="202"/>
      <c r="G134" s="672"/>
      <c r="H134" s="197"/>
      <c r="J134" s="123"/>
    </row>
    <row r="135" spans="1:10" s="114" customFormat="1" ht="13.5" customHeight="1">
      <c r="A135" s="194">
        <v>49</v>
      </c>
      <c r="B135" s="195">
        <v>786</v>
      </c>
      <c r="C135" s="195" t="s">
        <v>751</v>
      </c>
      <c r="D135" s="195" t="s">
        <v>752</v>
      </c>
      <c r="E135" s="195" t="s">
        <v>25</v>
      </c>
      <c r="F135" s="196">
        <f>F136</f>
        <v>3</v>
      </c>
      <c r="G135" s="672"/>
      <c r="H135" s="197">
        <f>F135*G135</f>
        <v>0</v>
      </c>
      <c r="J135" s="123"/>
    </row>
    <row r="136" spans="1:10" s="114" customFormat="1" ht="13.5" customHeight="1">
      <c r="A136" s="194"/>
      <c r="B136" s="195"/>
      <c r="C136" s="195"/>
      <c r="D136" s="201" t="s">
        <v>734</v>
      </c>
      <c r="E136" s="195"/>
      <c r="F136" s="202">
        <v>3</v>
      </c>
      <c r="G136" s="672"/>
      <c r="H136" s="197"/>
      <c r="J136" s="123"/>
    </row>
    <row r="137" spans="1:10" s="114" customFormat="1" ht="13.5" customHeight="1">
      <c r="A137" s="194"/>
      <c r="B137" s="195"/>
      <c r="C137" s="195"/>
      <c r="D137" s="201" t="s">
        <v>412</v>
      </c>
      <c r="E137" s="195"/>
      <c r="F137" s="202"/>
      <c r="G137" s="672"/>
      <c r="H137" s="197"/>
      <c r="J137" s="123"/>
    </row>
    <row r="138" spans="1:10" s="114" customFormat="1" ht="13.5" customHeight="1">
      <c r="A138" s="194">
        <v>50</v>
      </c>
      <c r="B138" s="195">
        <v>786</v>
      </c>
      <c r="C138" s="195" t="s">
        <v>753</v>
      </c>
      <c r="D138" s="195" t="s">
        <v>754</v>
      </c>
      <c r="E138" s="195" t="s">
        <v>25</v>
      </c>
      <c r="F138" s="196">
        <f>F139</f>
        <v>2</v>
      </c>
      <c r="G138" s="672"/>
      <c r="H138" s="197">
        <f>F138*G138</f>
        <v>0</v>
      </c>
      <c r="J138" s="123"/>
    </row>
    <row r="139" spans="1:10" s="114" customFormat="1" ht="13.5" customHeight="1">
      <c r="A139" s="194"/>
      <c r="B139" s="195"/>
      <c r="C139" s="195"/>
      <c r="D139" s="201" t="s">
        <v>734</v>
      </c>
      <c r="E139" s="195"/>
      <c r="F139" s="202">
        <v>2</v>
      </c>
      <c r="G139" s="672"/>
      <c r="H139" s="197"/>
      <c r="J139" s="123"/>
    </row>
    <row r="140" spans="1:10" s="114" customFormat="1" ht="13.5" customHeight="1">
      <c r="A140" s="194"/>
      <c r="B140" s="195"/>
      <c r="C140" s="195"/>
      <c r="D140" s="201" t="s">
        <v>412</v>
      </c>
      <c r="E140" s="195"/>
      <c r="F140" s="202"/>
      <c r="G140" s="672"/>
      <c r="H140" s="197"/>
      <c r="J140" s="123"/>
    </row>
    <row r="141" spans="1:10" s="114" customFormat="1" ht="13.5" customHeight="1">
      <c r="A141" s="194">
        <v>51</v>
      </c>
      <c r="B141" s="195">
        <v>786</v>
      </c>
      <c r="C141" s="195" t="s">
        <v>755</v>
      </c>
      <c r="D141" s="195" t="s">
        <v>756</v>
      </c>
      <c r="E141" s="195" t="s">
        <v>25</v>
      </c>
      <c r="F141" s="196">
        <f>F142</f>
        <v>8</v>
      </c>
      <c r="G141" s="672"/>
      <c r="H141" s="197">
        <f>F141*G141</f>
        <v>0</v>
      </c>
      <c r="J141" s="123"/>
    </row>
    <row r="142" spans="1:10" s="114" customFormat="1" ht="13.5" customHeight="1">
      <c r="A142" s="194"/>
      <c r="B142" s="195"/>
      <c r="C142" s="195"/>
      <c r="D142" s="201" t="s">
        <v>734</v>
      </c>
      <c r="E142" s="195"/>
      <c r="F142" s="202">
        <v>8</v>
      </c>
      <c r="G142" s="672"/>
      <c r="H142" s="197"/>
      <c r="J142" s="123"/>
    </row>
    <row r="143" spans="1:10" s="114" customFormat="1" ht="13.5" customHeight="1">
      <c r="A143" s="194"/>
      <c r="B143" s="195"/>
      <c r="C143" s="195"/>
      <c r="D143" s="201" t="s">
        <v>412</v>
      </c>
      <c r="E143" s="195"/>
      <c r="F143" s="202"/>
      <c r="G143" s="672"/>
      <c r="H143" s="197"/>
      <c r="J143" s="123"/>
    </row>
    <row r="144" spans="1:10" s="114" customFormat="1" ht="27" customHeight="1">
      <c r="A144" s="194">
        <v>52</v>
      </c>
      <c r="B144" s="195">
        <v>786</v>
      </c>
      <c r="C144" s="195" t="s">
        <v>769</v>
      </c>
      <c r="D144" s="195" t="s">
        <v>770</v>
      </c>
      <c r="E144" s="195" t="s">
        <v>25</v>
      </c>
      <c r="F144" s="196">
        <f>F145</f>
        <v>2</v>
      </c>
      <c r="G144" s="672"/>
      <c r="H144" s="197">
        <f>F144*G144</f>
        <v>0</v>
      </c>
      <c r="J144" s="123"/>
    </row>
    <row r="145" spans="1:10" s="114" customFormat="1" ht="13.5" customHeight="1">
      <c r="A145" s="194"/>
      <c r="B145" s="195"/>
      <c r="C145" s="195"/>
      <c r="D145" s="201" t="s">
        <v>771</v>
      </c>
      <c r="E145" s="195"/>
      <c r="F145" s="202">
        <v>2</v>
      </c>
      <c r="G145" s="672"/>
      <c r="H145" s="197"/>
      <c r="J145" s="123"/>
    </row>
    <row r="146" spans="1:10" s="114" customFormat="1" ht="13.5" customHeight="1">
      <c r="A146" s="194"/>
      <c r="B146" s="195"/>
      <c r="C146" s="195"/>
      <c r="D146" s="201" t="s">
        <v>412</v>
      </c>
      <c r="E146" s="195"/>
      <c r="F146" s="202"/>
      <c r="G146" s="672"/>
      <c r="H146" s="197"/>
      <c r="J146" s="123"/>
    </row>
    <row r="147" spans="1:10" s="114" customFormat="1" ht="13.5" customHeight="1">
      <c r="A147" s="194">
        <v>53</v>
      </c>
      <c r="B147" s="195">
        <v>998</v>
      </c>
      <c r="C147" s="195">
        <v>998786202</v>
      </c>
      <c r="D147" s="195" t="s">
        <v>772</v>
      </c>
      <c r="E147" s="195" t="s">
        <v>10</v>
      </c>
      <c r="F147" s="196">
        <v>0.33</v>
      </c>
      <c r="G147" s="672"/>
      <c r="H147" s="197">
        <f>F147*G147</f>
        <v>0</v>
      </c>
      <c r="J147" s="123"/>
    </row>
    <row r="148" spans="1:10" s="114" customFormat="1" ht="13.5" customHeight="1">
      <c r="A148" s="194">
        <v>54</v>
      </c>
      <c r="B148" s="195">
        <v>786</v>
      </c>
      <c r="C148" s="195" t="s">
        <v>773</v>
      </c>
      <c r="D148" s="195" t="s">
        <v>774</v>
      </c>
      <c r="E148" s="195" t="s">
        <v>25</v>
      </c>
      <c r="F148" s="196">
        <v>1</v>
      </c>
      <c r="G148" s="672"/>
      <c r="H148" s="197">
        <f>F148*G148</f>
        <v>0</v>
      </c>
      <c r="J148" s="123"/>
    </row>
    <row r="149" spans="1:10" s="114" customFormat="1" ht="27" customHeight="1">
      <c r="A149" s="204"/>
      <c r="B149" s="201"/>
      <c r="C149" s="201"/>
      <c r="D149" s="201" t="s">
        <v>213</v>
      </c>
      <c r="E149" s="201"/>
      <c r="F149" s="205">
        <v>1</v>
      </c>
      <c r="G149" s="681"/>
      <c r="H149" s="206"/>
      <c r="J149" s="117"/>
    </row>
    <row r="150" spans="1:8" ht="15" customHeight="1">
      <c r="A150" s="225"/>
      <c r="B150" s="226"/>
      <c r="C150" s="226">
        <v>790</v>
      </c>
      <c r="D150" s="226" t="s">
        <v>136</v>
      </c>
      <c r="E150" s="226"/>
      <c r="F150" s="227"/>
      <c r="G150" s="682"/>
      <c r="H150" s="228">
        <f>SUM(H151:H162)</f>
        <v>0</v>
      </c>
    </row>
    <row r="151" spans="1:10" s="114" customFormat="1" ht="13.5" customHeight="1">
      <c r="A151" s="194">
        <v>55</v>
      </c>
      <c r="B151" s="203" t="s">
        <v>775</v>
      </c>
      <c r="C151" s="195" t="s">
        <v>805</v>
      </c>
      <c r="D151" s="195" t="s">
        <v>806</v>
      </c>
      <c r="E151" s="195" t="s">
        <v>25</v>
      </c>
      <c r="F151" s="196">
        <f>F152</f>
        <v>2</v>
      </c>
      <c r="G151" s="672"/>
      <c r="H151" s="197">
        <f>F151*G151</f>
        <v>0</v>
      </c>
      <c r="J151" s="123"/>
    </row>
    <row r="152" spans="1:10" s="114" customFormat="1" ht="13.5" customHeight="1">
      <c r="A152" s="204"/>
      <c r="B152" s="201"/>
      <c r="C152" s="201"/>
      <c r="D152" s="201" t="s">
        <v>804</v>
      </c>
      <c r="E152" s="201"/>
      <c r="F152" s="205">
        <v>2</v>
      </c>
      <c r="G152" s="681"/>
      <c r="H152" s="206"/>
      <c r="J152" s="117"/>
    </row>
    <row r="153" spans="1:10" s="114" customFormat="1" ht="13.5" customHeight="1">
      <c r="A153" s="204"/>
      <c r="B153" s="201"/>
      <c r="C153" s="201"/>
      <c r="D153" s="201" t="s">
        <v>801</v>
      </c>
      <c r="E153" s="201"/>
      <c r="F153" s="205"/>
      <c r="G153" s="681"/>
      <c r="H153" s="206"/>
      <c r="J153" s="117"/>
    </row>
    <row r="154" spans="1:10" s="114" customFormat="1" ht="13.5" customHeight="1">
      <c r="A154" s="194">
        <v>56</v>
      </c>
      <c r="B154" s="203" t="s">
        <v>775</v>
      </c>
      <c r="C154" s="195" t="s">
        <v>807</v>
      </c>
      <c r="D154" s="195" t="s">
        <v>808</v>
      </c>
      <c r="E154" s="195" t="s">
        <v>25</v>
      </c>
      <c r="F154" s="196">
        <f>F155</f>
        <v>8</v>
      </c>
      <c r="G154" s="672"/>
      <c r="H154" s="197">
        <f>F154*G154</f>
        <v>0</v>
      </c>
      <c r="J154" s="123"/>
    </row>
    <row r="155" spans="1:10" s="114" customFormat="1" ht="13.5" customHeight="1">
      <c r="A155" s="204"/>
      <c r="B155" s="201"/>
      <c r="C155" s="201"/>
      <c r="D155" s="201" t="s">
        <v>809</v>
      </c>
      <c r="E155" s="201"/>
      <c r="F155" s="205">
        <v>8</v>
      </c>
      <c r="G155" s="681"/>
      <c r="H155" s="206"/>
      <c r="J155" s="117"/>
    </row>
    <row r="156" spans="1:10" s="114" customFormat="1" ht="13.5" customHeight="1">
      <c r="A156" s="204"/>
      <c r="B156" s="201"/>
      <c r="C156" s="201"/>
      <c r="D156" s="201" t="s">
        <v>801</v>
      </c>
      <c r="E156" s="201"/>
      <c r="F156" s="205"/>
      <c r="G156" s="681"/>
      <c r="H156" s="206"/>
      <c r="J156" s="117"/>
    </row>
    <row r="157" spans="1:10" s="104" customFormat="1" ht="13.5" customHeight="1">
      <c r="A157" s="97">
        <v>57</v>
      </c>
      <c r="B157" s="110" t="s">
        <v>775</v>
      </c>
      <c r="C157" s="98" t="s">
        <v>832</v>
      </c>
      <c r="D157" s="98" t="s">
        <v>833</v>
      </c>
      <c r="E157" s="98" t="s">
        <v>25</v>
      </c>
      <c r="F157" s="99">
        <f>F158</f>
        <v>7</v>
      </c>
      <c r="G157" s="673"/>
      <c r="H157" s="100">
        <f>F157*G157</f>
        <v>0</v>
      </c>
      <c r="J157" s="101"/>
    </row>
    <row r="158" spans="1:10" s="104" customFormat="1" ht="27" customHeight="1">
      <c r="A158" s="111"/>
      <c r="B158" s="102"/>
      <c r="C158" s="102"/>
      <c r="D158" s="102" t="s">
        <v>791</v>
      </c>
      <c r="E158" s="102"/>
      <c r="F158" s="112">
        <v>7</v>
      </c>
      <c r="G158" s="677"/>
      <c r="H158" s="113"/>
      <c r="I158" s="114"/>
      <c r="J158" s="117"/>
    </row>
    <row r="159" spans="1:10" s="114" customFormat="1" ht="13.5" customHeight="1">
      <c r="A159" s="194">
        <v>59</v>
      </c>
      <c r="B159" s="203" t="s">
        <v>775</v>
      </c>
      <c r="C159" s="195" t="s">
        <v>1371</v>
      </c>
      <c r="D159" s="195" t="s">
        <v>1372</v>
      </c>
      <c r="E159" s="195" t="s">
        <v>25</v>
      </c>
      <c r="F159" s="196">
        <f>F160</f>
        <v>29</v>
      </c>
      <c r="G159" s="672"/>
      <c r="H159" s="197">
        <f>F159*G159</f>
        <v>0</v>
      </c>
      <c r="J159" s="123"/>
    </row>
    <row r="160" spans="1:10" s="114" customFormat="1" ht="27" customHeight="1">
      <c r="A160" s="204"/>
      <c r="B160" s="201"/>
      <c r="C160" s="201"/>
      <c r="D160" s="201" t="s">
        <v>1373</v>
      </c>
      <c r="E160" s="201"/>
      <c r="F160" s="205">
        <v>29</v>
      </c>
      <c r="G160" s="681"/>
      <c r="H160" s="206"/>
      <c r="J160" s="117"/>
    </row>
    <row r="161" spans="1:10" s="114" customFormat="1" ht="13.5" customHeight="1">
      <c r="A161" s="194">
        <v>60</v>
      </c>
      <c r="B161" s="203" t="s">
        <v>775</v>
      </c>
      <c r="C161" s="195" t="s">
        <v>834</v>
      </c>
      <c r="D161" s="195" t="s">
        <v>1374</v>
      </c>
      <c r="E161" s="195" t="s">
        <v>25</v>
      </c>
      <c r="F161" s="196">
        <f>F162</f>
        <v>6</v>
      </c>
      <c r="G161" s="672"/>
      <c r="H161" s="197">
        <f>F161*G161</f>
        <v>0</v>
      </c>
      <c r="J161" s="123"/>
    </row>
    <row r="162" spans="1:10" s="114" customFormat="1" ht="27" customHeight="1">
      <c r="A162" s="204"/>
      <c r="B162" s="201"/>
      <c r="C162" s="201"/>
      <c r="D162" s="201" t="s">
        <v>1373</v>
      </c>
      <c r="E162" s="201"/>
      <c r="F162" s="205">
        <v>6</v>
      </c>
      <c r="G162" s="681"/>
      <c r="H162" s="206"/>
      <c r="J162" s="117"/>
    </row>
    <row r="163" spans="1:8" ht="13.5" customHeight="1">
      <c r="A163" s="233"/>
      <c r="B163" s="234"/>
      <c r="C163" s="234"/>
      <c r="D163" s="234"/>
      <c r="E163" s="234"/>
      <c r="F163" s="235"/>
      <c r="G163" s="236"/>
      <c r="H163" s="236"/>
    </row>
    <row r="164" spans="1:8" ht="15">
      <c r="A164" s="727" t="s">
        <v>860</v>
      </c>
      <c r="B164" s="727"/>
      <c r="C164" s="727"/>
      <c r="D164" s="237"/>
      <c r="E164" s="238"/>
      <c r="F164" s="239"/>
      <c r="G164" s="240"/>
      <c r="H164" s="241">
        <f>H28+H8</f>
        <v>0</v>
      </c>
    </row>
    <row r="165" spans="1:8" ht="15">
      <c r="A165" s="242"/>
      <c r="B165" s="243"/>
      <c r="C165" s="243"/>
      <c r="D165" s="234"/>
      <c r="E165" s="244"/>
      <c r="F165" s="245"/>
      <c r="G165" s="246"/>
      <c r="H165" s="236"/>
    </row>
    <row r="166" spans="1:8" ht="15">
      <c r="A166" s="247" t="s">
        <v>20</v>
      </c>
      <c r="B166" s="247"/>
      <c r="C166" s="247"/>
      <c r="D166" s="247"/>
      <c r="E166" s="247"/>
      <c r="F166" s="247"/>
      <c r="G166" s="248"/>
      <c r="H166" s="247"/>
    </row>
    <row r="167" spans="1:8" ht="27" customHeight="1">
      <c r="A167" s="728" t="s">
        <v>27</v>
      </c>
      <c r="B167" s="728"/>
      <c r="C167" s="728"/>
      <c r="D167" s="728"/>
      <c r="E167" s="728"/>
      <c r="F167" s="728"/>
      <c r="G167" s="728"/>
      <c r="H167" s="247"/>
    </row>
    <row r="168" spans="1:8" ht="15">
      <c r="A168" s="216"/>
      <c r="B168" s="216"/>
      <c r="C168" s="216"/>
      <c r="D168" s="216"/>
      <c r="E168" s="216"/>
      <c r="F168" s="216"/>
      <c r="G168" s="217"/>
      <c r="H168" s="216"/>
    </row>
    <row r="169" spans="1:8" ht="15">
      <c r="A169" s="216"/>
      <c r="B169" s="216"/>
      <c r="C169" s="216"/>
      <c r="D169" s="216"/>
      <c r="E169" s="216"/>
      <c r="F169" s="216"/>
      <c r="G169" s="217"/>
      <c r="H169" s="216"/>
    </row>
  </sheetData>
  <sheetProtection sheet="1" objects="1" scenarios="1"/>
  <mergeCells count="2">
    <mergeCell ref="A164:C164"/>
    <mergeCell ref="A167:G167"/>
  </mergeCells>
  <printOptions/>
  <pageMargins left="0" right="0" top="0" bottom="0" header="0" footer="0"/>
  <pageSetup fitToHeight="99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Cvancigerová Renata</dc:creator>
  <cp:keywords/>
  <dc:description/>
  <cp:lastModifiedBy>Cvancigerová Renata</cp:lastModifiedBy>
  <cp:lastPrinted>2020-03-25T07:16:39Z</cp:lastPrinted>
  <dcterms:created xsi:type="dcterms:W3CDTF">2017-11-23T09:24:09Z</dcterms:created>
  <dcterms:modified xsi:type="dcterms:W3CDTF">2021-09-09T12:29:20Z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