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lupskiM\Documents\Martin\Mateřské školky\Mateřské školy\MŠ Edv. Beneše\stavební úpravy - rozšíření kapacity\Výběrové řízení\"/>
    </mc:Choice>
  </mc:AlternateContent>
  <bookViews>
    <workbookView xWindow="-120" yWindow="-120" windowWidth="29040" windowHeight="15840" firstSheet="1" activeTab="2"/>
  </bookViews>
  <sheets>
    <sheet name="KL" sheetId="14" r:id="rId1"/>
    <sheet name="VRN" sheetId="17" r:id="rId2"/>
    <sheet name="Stavební  část" sheetId="3" r:id="rId3"/>
    <sheet name="Gastro zařízení" sheetId="31" r:id="rId4"/>
    <sheet name="Zdravotechnika" sheetId="35" r:id="rId5"/>
    <sheet name="Vzduchotechnika" sheetId="36" r:id="rId6"/>
    <sheet name="Vytápění" sheetId="37" r:id="rId7"/>
    <sheet name="Slaboproud" sheetId="38" r:id="rId8"/>
    <sheet name="Silnoproud" sheetId="3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obl11" localSheetId="1">#REF!</definedName>
    <definedName name="_obl11">#REF!</definedName>
    <definedName name="_obl12" localSheetId="1">#REF!</definedName>
    <definedName name="_obl12">#REF!</definedName>
    <definedName name="_obl13" localSheetId="1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_SO16" localSheetId="0" hidden="1">{#N/A,#N/A,TRUE,"Krycí list"}</definedName>
    <definedName name="_SO16" localSheetId="1" hidden="1">{#N/A,#N/A,TRUE,"Krycí list"}</definedName>
    <definedName name="_SO16" hidden="1">{#N/A,#N/A,TRUE,"Krycí list"}</definedName>
    <definedName name="_VZT1" localSheetId="0">Scheduled_Payment+Extra_Payment</definedName>
    <definedName name="_VZT1" localSheetId="1">Scheduled_Payment+Extra_Payment</definedName>
    <definedName name="_VZT1">Scheduled_Payment+Extra_Payment</definedName>
    <definedName name="_VZT2" localSheetId="0">DATE(YEAR([0]!Loan_Start),MONTH([0]!Loan_Start)+Payment_Number,DAY([0]!Loan_Start))</definedName>
    <definedName name="_VZT2" localSheetId="1">DATE(YEAR([0]!Loan_Start),MONTH([0]!Loan_Start)+Payment_Number,DAY([0]!Loan_Start))</definedName>
    <definedName name="_VZT2">DATE(YEAR([0]!Loan_Start),MONTH([0]!Loan_Start)+Payment_Number,DAY([0]!Loan_Start))</definedName>
    <definedName name="_vzt3" localSheetId="1">'[1]Rekapitulace roz.  vč. kapitol'!#REF!</definedName>
    <definedName name="_vzt3">'[1]Rekapitulace roz.  vč. kapitol'!#REF!</definedName>
    <definedName name="_VZT5" localSheetId="1">'[1]Rekapitulace roz.  vč. kapitol'!#REF!</definedName>
    <definedName name="_VZT5">'[1]Rekapitulace roz.  vč. kapitol'!#REF!</definedName>
    <definedName name="_VZT6" localSheetId="1">'[1]Rekapitulace roz.  vč. kapitol'!#REF!</definedName>
    <definedName name="_VZT6">'[1]Rekapitulace roz.  vč. kapitol'!#REF!</definedName>
    <definedName name="_VZT8">'[1]Rekapitulace roz.  vč. kapitol'!#REF!</definedName>
    <definedName name="a">'[2]F.1.4.5. ZZTI'!#REF!</definedName>
    <definedName name="aaaaaaaa" localSheetId="0" hidden="1">{#N/A,#N/A,TRUE,"Krycí list"}</definedName>
    <definedName name="aaaaaaaa" localSheetId="1" hidden="1">{#N/A,#N/A,TRUE,"Krycí list"}</definedName>
    <definedName name="aaaaaaaa" hidden="1">{#N/A,#N/A,TRUE,"Krycí list"}</definedName>
    <definedName name="ASA">'[3]Krycí list'!$A$7</definedName>
    <definedName name="Beg_Bal" localSheetId="1">#REF!</definedName>
    <definedName name="Beg_Bal">#REF!</definedName>
    <definedName name="bghrerr" localSheetId="1">#REF!</definedName>
    <definedName name="bghrerr">#REF!</definedName>
    <definedName name="bhvfdgvf" localSheetId="1">#REF!</definedName>
    <definedName name="bhvfdgvf">#REF!</definedName>
    <definedName name="body_celkem" localSheetId="1">'[1]Rekapitulace roz.  vč. kapitol'!#REF!</definedName>
    <definedName name="body_celkem">'[1]Rekapitulace roz.  vč. kapitol'!#REF!</definedName>
    <definedName name="body_kapitoly" localSheetId="1">'[1]Rekapitulace roz.  vč. kapitol'!#REF!</definedName>
    <definedName name="body_kapitoly">'[1]Rekapitulace roz.  vč. kapitol'!#REF!</definedName>
    <definedName name="body_pomocny" localSheetId="1">'[1]Rekapitulace roz.  vč. kapitol'!#REF!</definedName>
    <definedName name="body_pomocny">'[1]Rekapitulace roz.  vč. kapitol'!#REF!</definedName>
    <definedName name="body_rozpocty" localSheetId="1">'[1]Rekapitulace roz.  vč. kapitol'!#REF!</definedName>
    <definedName name="body_rozpocty">'[1]Rekapitulace roz.  vč. kapitol'!#REF!</definedName>
    <definedName name="category1" localSheetId="1">#REF!</definedName>
    <definedName name="category1">#REF!</definedName>
    <definedName name="CelkemObjekty" localSheetId="0">KL!$F$37</definedName>
    <definedName name="celkrozp" localSheetId="1">#REF!</definedName>
    <definedName name="celkrozp">#REF!</definedName>
    <definedName name="Ceník" localSheetId="8">[4]Cenik!$A$1:$F$20293</definedName>
    <definedName name="Ceník">[5]Cenik!$A$1:$F$20293</definedName>
    <definedName name="cisloobjektu" localSheetId="0">#REF!</definedName>
    <definedName name="cisloobjektu" localSheetId="1">#REF!</definedName>
    <definedName name="cisloobjektu">'[6]Krycí list'!$A$5</definedName>
    <definedName name="CisloStavby" localSheetId="0">KL!#REF!</definedName>
    <definedName name="cislostavby" localSheetId="1">#REF!</definedName>
    <definedName name="cislostavby">'[6]Krycí list'!$A$7</definedName>
    <definedName name="d" localSheetId="0" hidden="1">{#N/A,#N/A,TRUE,"Krycí list"}</definedName>
    <definedName name="d" localSheetId="1" hidden="1">{#N/A,#N/A,TRUE,"Krycí list"}</definedName>
    <definedName name="d" hidden="1">{#N/A,#N/A,TRUE,"Krycí list"}</definedName>
    <definedName name="dadresa" localSheetId="0">KL!$D$9</definedName>
    <definedName name="Data" localSheetId="1">#REF!</definedName>
    <definedName name="Data">#REF!</definedName>
    <definedName name="Datum" localSheetId="0">#REF!</definedName>
    <definedName name="Datum" localSheetId="1">#REF!</definedName>
    <definedName name="Datum">#REF!</definedName>
    <definedName name="dfdaf">#REF!</definedName>
    <definedName name="DIČ" localSheetId="0">KL!$J$9</definedName>
    <definedName name="Dil" localSheetId="0">#REF!</definedName>
    <definedName name="Dil" localSheetId="1">#REF!</definedName>
    <definedName name="Dil">#REF!</definedName>
    <definedName name="DKGJSDGS" localSheetId="1">#REF!</definedName>
    <definedName name="DKGJSDGS">#REF!</definedName>
    <definedName name="dmisto" localSheetId="0">KL!#REF!</definedName>
    <definedName name="dod" localSheetId="1">'[2]F.1.4.5. ZZTI'!#REF!</definedName>
    <definedName name="dod">'[2]F.1.4.5. ZZTI'!#REF!</definedName>
    <definedName name="Dodavka" localSheetId="0">#REF!</definedName>
    <definedName name="Dodavka">#REF!</definedName>
    <definedName name="Dodavka0" localSheetId="0">'[7]002-A.1. Archstav  reseni'!#REF!</definedName>
    <definedName name="Dodavka0" localSheetId="1">#REF!</definedName>
    <definedName name="Dodavka0">#REF!</definedName>
    <definedName name="dpsc" localSheetId="0">KL!#REF!</definedName>
    <definedName name="dsfbhbg" localSheetId="1">#REF!</definedName>
    <definedName name="dsfbhbg">#REF!</definedName>
    <definedName name="EDBEN_VZ" localSheetId="5">Vzduchotechnika!$A$1:$L$51</definedName>
    <definedName name="EDBEN_ZT" localSheetId="4">Zdravotechnika!$A$1:$J$93</definedName>
    <definedName name="End_Bal" localSheetId="1">#REF!</definedName>
    <definedName name="End_Bal">#REF!</definedName>
    <definedName name="exter1" localSheetId="1">#REF!</definedName>
    <definedName name="exter1">#REF!</definedName>
    <definedName name="Extra_Pay">#REF!</definedName>
    <definedName name="f">#REF!</definedName>
    <definedName name="Full_Print">#REF!</definedName>
    <definedName name="ha">'[2]F.1.4.5. ZZTI'!#REF!</definedName>
    <definedName name="Header_Row">ROW(#REF!)</definedName>
    <definedName name="hovno">#REF!</definedName>
    <definedName name="hs">#REF!</definedName>
    <definedName name="HSV" localSheetId="0">#REF!</definedName>
    <definedName name="HSV">#REF!</definedName>
    <definedName name="HSV0" localSheetId="0">'[7]002-A.1. Archstav  reseni'!#REF!</definedName>
    <definedName name="HSV0" localSheetId="1">#REF!</definedName>
    <definedName name="HSV0">#REF!</definedName>
    <definedName name="HZS" localSheetId="0">#REF!</definedName>
    <definedName name="HZS" localSheetId="1">#REF!</definedName>
    <definedName name="HZS">#REF!</definedName>
    <definedName name="HZS0" localSheetId="0">'[7]002-A.1. Archstav  reseni'!#REF!</definedName>
    <definedName name="HZS0" localSheetId="1">#REF!</definedName>
    <definedName name="HZS0">#REF!</definedName>
    <definedName name="IČO" localSheetId="0">KL!$J$8</definedName>
    <definedName name="Int" localSheetId="1">#REF!</definedName>
    <definedName name="Int">#REF!</definedName>
    <definedName name="inter1" localSheetId="1">#REF!</definedName>
    <definedName name="inter1">#REF!</definedName>
    <definedName name="Interest_Rate" localSheetId="1">#REF!</definedName>
    <definedName name="Interest_Rate">#REF!</definedName>
    <definedName name="JKSO" localSheetId="0">#REF!</definedName>
    <definedName name="JKSO">#REF!</definedName>
    <definedName name="jzzuggt">#REF!</definedName>
    <definedName name="Last_Row" localSheetId="0">IF(KL!Values_Entered,Header_Row+KL!Number_of_Payments,Header_Row)</definedName>
    <definedName name="Last_Row" localSheetId="1">#N/A</definedName>
    <definedName name="Last_Row">IF(KL!Values_Entered,Header_Row+KL!Number_of_Payments,Header_Row)</definedName>
    <definedName name="Light" localSheetId="0" hidden="1">{#N/A,#N/A,TRUE,"Krycí list"}</definedName>
    <definedName name="Light" localSheetId="1" hidden="1">{#N/A,#N/A,TRUE,"Krycí list"}</definedName>
    <definedName name="Light" hidden="1">{#N/A,#N/A,TRUE,"Krycí list"}</definedName>
    <definedName name="Lighting" localSheetId="0" hidden="1">{#N/A,#N/A,TRUE,"Krycí list"}</definedName>
    <definedName name="Lighting" localSheetId="1" hidden="1">{#N/A,#N/A,TRUE,"Krycí list"}</definedName>
    <definedName name="Lighting" hidden="1">{#N/A,#N/A,TRUE,"Krycí list"}</definedName>
    <definedName name="LIPKH_UT" localSheetId="6">Vytápění!$A$1:$J$51</definedName>
    <definedName name="Loan_Amount">#REF!</definedName>
    <definedName name="Loan_Start">#REF!</definedName>
    <definedName name="Loan_Years">#REF!</definedName>
    <definedName name="MaR" localSheetId="0" hidden="1">{#N/A,#N/A,TRUE,"Krycí list"}</definedName>
    <definedName name="MaR" localSheetId="1" hidden="1">{#N/A,#N/A,TRUE,"Krycí list"}</definedName>
    <definedName name="MaR" hidden="1">{#N/A,#N/A,TRUE,"Krycí list"}</definedName>
    <definedName name="meraregulace" localSheetId="0" hidden="1">{#N/A,#N/A,TRUE,"Krycí list"}</definedName>
    <definedName name="meraregulace" localSheetId="1" hidden="1">{#N/A,#N/A,TRUE,"Krycí list"}</definedName>
    <definedName name="meraregulace" hidden="1">{#N/A,#N/A,TRUE,"Krycí list"}</definedName>
    <definedName name="mereni" localSheetId="0">Scheduled_Payment+Extra_Payment</definedName>
    <definedName name="mereni" localSheetId="1">Scheduled_Payment+Extra_Payment</definedName>
    <definedName name="mereni">Scheduled_Payment+Extra_Payment</definedName>
    <definedName name="MJ" localSheetId="0">#REF!</definedName>
    <definedName name="MJ" localSheetId="1">#REF!</definedName>
    <definedName name="MJ">#REF!</definedName>
    <definedName name="Mont" localSheetId="0">#REF!</definedName>
    <definedName name="Mont">#REF!</definedName>
    <definedName name="Montaz0" localSheetId="0">'[7]002-A.1. Archstav  reseni'!#REF!</definedName>
    <definedName name="Montaz0" localSheetId="1">#REF!</definedName>
    <definedName name="Montaz0">#REF!</definedName>
    <definedName name="mts" localSheetId="1">#REF!</definedName>
    <definedName name="mts">#REF!</definedName>
    <definedName name="n" localSheetId="0">Scheduled_Payment+Extra_Payment</definedName>
    <definedName name="n" localSheetId="1">Scheduled_Payment+Extra_Payment</definedName>
    <definedName name="n">Scheduled_Payment+Extra_Payment</definedName>
    <definedName name="NazevDilu" localSheetId="0">#REF!</definedName>
    <definedName name="NazevDilu" localSheetId="1">#REF!</definedName>
    <definedName name="NazevDilu">#REF!</definedName>
    <definedName name="NazevObjektu" localSheetId="0">KL!$C$27</definedName>
    <definedName name="nazevobjektu" localSheetId="1">#REF!</definedName>
    <definedName name="nazevobjektu">'[6]Krycí list'!$C$5</definedName>
    <definedName name="NazevStavby" localSheetId="0">KL!$D$6</definedName>
    <definedName name="nazevstavby" localSheetId="1">#REF!</definedName>
    <definedName name="nazevstavby">'[6]Krycí list'!$C$7</definedName>
    <definedName name="Num_Pmt_Per_Year" localSheetId="1">#REF!</definedName>
    <definedName name="Num_Pmt_Per_Year">#REF!</definedName>
    <definedName name="Number_of_Payments" localSheetId="0">MATCH(0.01,End_Bal,-1)+1</definedName>
    <definedName name="Number_of_Payments" localSheetId="1">MATCH(0.01,VRN!End_Bal,-1)+1</definedName>
    <definedName name="Number_of_Payments">MATCH(0.01,End_Bal,-1)+1</definedName>
    <definedName name="obch_sleva">#REF!</definedName>
    <definedName name="Objednatel" localSheetId="0">KL!$D$10</definedName>
    <definedName name="Objednatel" localSheetId="1">#REF!</definedName>
    <definedName name="Objednatel">#REF!</definedName>
    <definedName name="Objekt" localSheetId="0">KL!$B$27</definedName>
    <definedName name="_xlnm.Print_Area" localSheetId="3">'Gastro zařízení'!$A$1:$J$57</definedName>
    <definedName name="_xlnm.Print_Area" localSheetId="0">KL!$A$1:$I$42</definedName>
    <definedName name="_xlnm.Print_Area" localSheetId="8">Silnoproud!$A$1:$G$218</definedName>
    <definedName name="_xlnm.Print_Area" localSheetId="7">Slaboproud!$A$1:$L$173</definedName>
    <definedName name="_xlnm.Print_Area" localSheetId="2">'Stavební  část'!$A$1:$H$399</definedName>
    <definedName name="_xlnm.Print_Area" localSheetId="1">VRN!$A$1:$G$25</definedName>
    <definedName name="_xlnm.Print_Area" localSheetId="6">Vytápění!$A$1:$J$50</definedName>
    <definedName name="_xlnm.Print_Area" localSheetId="5">Vzduchotechnika!$A$1:$J$51</definedName>
    <definedName name="_xlnm.Print_Area" localSheetId="4">Zdravotechnika!$A$1:$J$93</definedName>
    <definedName name="odic" localSheetId="0">KL!$J$11</definedName>
    <definedName name="oico" localSheetId="0">KL!$J$10</definedName>
    <definedName name="omisto" localSheetId="0">KL!#REF!</definedName>
    <definedName name="onazev" localSheetId="0">KL!$D$11</definedName>
    <definedName name="op" localSheetId="1">#REF!</definedName>
    <definedName name="op">#REF!</definedName>
    <definedName name="opsc" localSheetId="0">KL!#REF!</definedName>
    <definedName name="Outside" localSheetId="0" hidden="1">{#N/A,#N/A,TRUE,"Krycí list"}</definedName>
    <definedName name="Outside" localSheetId="1" hidden="1">{#N/A,#N/A,TRUE,"Krycí list"}</definedName>
    <definedName name="Outside" hidden="1">{#N/A,#N/A,TRUE,"Krycí list"}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PocetMJ" localSheetId="0">#REF!</definedName>
    <definedName name="PocetMJ" localSheetId="1">#REF!</definedName>
    <definedName name="PocetMJ">#REF!</definedName>
    <definedName name="pokusAAAA" localSheetId="1">#REF!</definedName>
    <definedName name="pokusAAAA">#REF!</definedName>
    <definedName name="pokusadres">#REF!</definedName>
    <definedName name="položka_A1">#REF!</definedName>
    <definedName name="položky">#REF!</definedName>
    <definedName name="pom_výp_zač">#REF!</definedName>
    <definedName name="pom_výpočty">#REF!</definedName>
    <definedName name="powersock" localSheetId="0" hidden="1">{#N/A,#N/A,TRUE,"Krycí list"}</definedName>
    <definedName name="powersock" localSheetId="1" hidden="1">{#N/A,#N/A,TRUE,"Krycí list"}</definedName>
    <definedName name="powersock" hidden="1">{#N/A,#N/A,TRUE,"Krycí list"}</definedName>
    <definedName name="PowerSocket" localSheetId="0" hidden="1">{#N/A,#N/A,TRUE,"Krycí list"}</definedName>
    <definedName name="PowerSocket" localSheetId="1" hidden="1">{#N/A,#N/A,TRUE,"Krycí list"}</definedName>
    <definedName name="PowerSocket" hidden="1">{#N/A,#N/A,TRUE,"Krycí list"}</definedName>
    <definedName name="Poznamka" localSheetId="0">#REF!</definedName>
    <definedName name="Poznamka">#REF!</definedName>
    <definedName name="poznámka">#REF!</definedName>
    <definedName name="prep_schem">#REF!</definedName>
    <definedName name="Princ">#REF!</definedName>
    <definedName name="Print_Area_Reset" localSheetId="0">OFFSET(Full_Print,0,0,KL!Last_Row)</definedName>
    <definedName name="Print_Area_Reset" localSheetId="1">OFFSET(Full_Print,0,0,VRN!Last_Row)</definedName>
    <definedName name="Print_Area_Reset">OFFSET(Full_Print,0,0,Last_Row)</definedName>
    <definedName name="Projektant" localSheetId="0">#REF!</definedName>
    <definedName name="Projektant">#REF!</definedName>
    <definedName name="PSV" localSheetId="0">#REF!</definedName>
    <definedName name="PSV">#REF!</definedName>
    <definedName name="PSV0" localSheetId="0">'[7]002-A.1. Archstav  reseni'!#REF!</definedName>
    <definedName name="PSV0" localSheetId="1">#REF!</definedName>
    <definedName name="PSV0">#REF!</definedName>
    <definedName name="QQ" localSheetId="0" hidden="1">{#N/A,#N/A,TRUE,"Krycí list"}</definedName>
    <definedName name="QQ" localSheetId="1" hidden="1">{#N/A,#N/A,TRUE,"Krycí list"}</definedName>
    <definedName name="QQ" hidden="1">{#N/A,#N/A,TRUE,"Krycí list"}</definedName>
    <definedName name="QQQ" localSheetId="0" hidden="1">{#N/A,#N/A,TRUE,"Krycí list"}</definedName>
    <definedName name="QQQ" localSheetId="1" hidden="1">{#N/A,#N/A,TRUE,"Krycí list"}</definedName>
    <definedName name="QQQ" hidden="1">{#N/A,#N/A,TRUE,"Krycí list"}</definedName>
    <definedName name="rekapitulace">#REF!</definedName>
    <definedName name="rozp" localSheetId="0" hidden="1">{#N/A,#N/A,TRUE,"Krycí list"}</definedName>
    <definedName name="rozp" localSheetId="1" hidden="1">{#N/A,#N/A,TRUE,"Krycí list"}</definedName>
    <definedName name="rozp" hidden="1">{#N/A,#N/A,TRUE,"Krycí list"}</definedName>
    <definedName name="rozvržení_rozp">#REF!</definedName>
    <definedName name="saboproud" localSheetId="0" hidden="1">{#N/A,#N/A,TRUE,"Krycí list"}</definedName>
    <definedName name="saboproud" localSheetId="1" hidden="1">{#N/A,#N/A,TRUE,"Krycí list"}</definedName>
    <definedName name="saboproud" hidden="1">{#N/A,#N/A,TRUE,"Krycí list"}</definedName>
    <definedName name="SazbaDPH1" localSheetId="0">KL!$D$17</definedName>
    <definedName name="SazbaDPH1" localSheetId="1">#REF!</definedName>
    <definedName name="SazbaDPH1">#REF!</definedName>
    <definedName name="SazbaDPH2" localSheetId="0">KL!$D$19</definedName>
    <definedName name="SazbaDPH2" localSheetId="1">#REF!</definedName>
    <definedName name="SazbaDPH2">#REF!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>#REF!</definedName>
    <definedName name="Scheduled_Monthly_Payment">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SoucetDilu" localSheetId="0">KL!#REF!</definedName>
    <definedName name="soupis" localSheetId="0" hidden="1">{#N/A,#N/A,TRUE,"Krycí list"}</definedName>
    <definedName name="soupis" localSheetId="1" hidden="1">{#N/A,#N/A,TRUE,"Krycí list"}</definedName>
    <definedName name="soupis" hidden="1">{#N/A,#N/A,TRUE,"Krycí list"}</definedName>
    <definedName name="ssss">#REF!</definedName>
    <definedName name="StavbaCelkem" localSheetId="0">KL!$H$37</definedName>
    <definedName name="subslevy" localSheetId="1">#REF!</definedName>
    <definedName name="subslevy">#REF!</definedName>
    <definedName name="sum_kapitoly" localSheetId="1">'[1]Rekapitulace roz.  vč. kapitol'!#REF!</definedName>
    <definedName name="sum_kapitoly">'[1]Rekapitulace roz.  vč. kapitol'!#REF!</definedName>
    <definedName name="summary" localSheetId="0" hidden="1">{#N/A,#N/A,TRUE,"Krycí list"}</definedName>
    <definedName name="summary" localSheetId="1" hidden="1">{#N/A,#N/A,TRUE,"Krycí list"}</definedName>
    <definedName name="summary" hidden="1">{#N/A,#N/A,TRUE,"Krycí list"}</definedName>
    <definedName name="sumpok">#REF!</definedName>
    <definedName name="Switchboard" localSheetId="0" hidden="1">{#N/A,#N/A,TRUE,"Krycí list"}</definedName>
    <definedName name="Switchboard" localSheetId="1" hidden="1">{#N/A,#N/A,TRUE,"Krycí list"}</definedName>
    <definedName name="Switchboard" hidden="1">{#N/A,#N/A,TRUE,"Krycí list"}</definedName>
    <definedName name="tab">#REF!</definedName>
    <definedName name="Total_Interest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yp" localSheetId="0">'[7]002-A.1. Archstav  reseni'!#REF!</definedName>
    <definedName name="Typ" localSheetId="1">#REF!</definedName>
    <definedName name="Typ">#REF!</definedName>
    <definedName name="v" localSheetId="1">'[1]Rekapitulace roz.  vč. kapitol'!#REF!</definedName>
    <definedName name="v">'[1]Rekapitulace roz.  vč. kapitol'!#REF!</definedName>
    <definedName name="Values_Entered" localSheetId="0">IF(Loan_Amount*Interest_Rate*Loan_Years*Loan_Start&gt;0,1,0)</definedName>
    <definedName name="Values_Entered" localSheetId="1">IF(Loan_Amount*VRN!Interest_Rate*Loan_Years*Loan_Start&gt;0,1,0)</definedName>
    <definedName name="Values_Entered">IF(Loan_Amount*Interest_Rate*Loan_Years*Loan_Start&gt;0,1,0)</definedName>
    <definedName name="VIZA" localSheetId="0" hidden="1">{#N/A,#N/A,TRUE,"Krycí list"}</definedName>
    <definedName name="VIZA" localSheetId="1" hidden="1">{#N/A,#N/A,TRUE,"Krycí list"}</definedName>
    <definedName name="VIZA" hidden="1">{#N/A,#N/A,TRUE,"Krycí list"}</definedName>
    <definedName name="VIZA12" localSheetId="0" hidden="1">{#N/A,#N/A,TRUE,"Krycí list"}</definedName>
    <definedName name="VIZA12" localSheetId="1" hidden="1">{#N/A,#N/A,TRUE,"Krycí list"}</definedName>
    <definedName name="VIZA12" hidden="1">{#N/A,#N/A,TRUE,"Krycí list"}</definedName>
    <definedName name="VRN" localSheetId="0">#REF!</definedName>
    <definedName name="VRN">#REF!</definedName>
    <definedName name="VRNKc" localSheetId="0">#REF!</definedName>
    <definedName name="VRNKc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výpočty">#REF!</definedName>
    <definedName name="vystup">#REF!</definedName>
    <definedName name="vzduchna" localSheetId="0" hidden="1">{#N/A,#N/A,TRUE,"Krycí list"}</definedName>
    <definedName name="vzduchna" localSheetId="1" hidden="1">{#N/A,#N/A,TRUE,"Krycí list"}</definedName>
    <definedName name="vzduchna" hidden="1">{#N/A,#N/A,TRUE,"Krycí list"}</definedName>
    <definedName name="Weak" localSheetId="0" hidden="1">{#N/A,#N/A,TRUE,"Krycí list"}</definedName>
    <definedName name="Weak" localSheetId="1" hidden="1">{#N/A,#N/A,TRUE,"Krycí list"}</definedName>
    <definedName name="Weak" hidden="1">{#N/A,#N/A,TRUE,"Krycí list"}</definedName>
    <definedName name="wrn.Kontrolní._.rozpočet." localSheetId="0" hidden="1">{#N/A,#N/A,TRUE,"Krycí list"}</definedName>
    <definedName name="wrn.Kontrolní._.rozpočet." localSheetId="1" hidden="1">{#N/A,#N/A,TRUE,"Krycí list"}</definedName>
    <definedName name="wrn.Kontrolní._.rozpočet." hidden="1">{#N/A,#N/A,TRUE,"Krycí list"}</definedName>
    <definedName name="wrn.Kontrolní._.rozpoeet." localSheetId="0" hidden="1">{#N/A,#N/A,TRUE,"Krycí list"}</definedName>
    <definedName name="wrn.Kontrolní._.rozpoeet." localSheetId="1" hidden="1">{#N/A,#N/A,TRUE,"Krycí list"}</definedName>
    <definedName name="wrn.Kontrolní._.rozpoeet." hidden="1">{#N/A,#N/A,TRUE,"Krycí list"}</definedName>
    <definedName name="zahrnsazby">#REF!</definedName>
    <definedName name="zahrnslevy">#REF!</definedName>
    <definedName name="Zakazka" localSheetId="0">#REF!</definedName>
    <definedName name="Zakazka">#REF!</definedName>
    <definedName name="Zaklad22" localSheetId="0">#REF!</definedName>
    <definedName name="Zaklad22">#REF!</definedName>
    <definedName name="Zaklad5" localSheetId="0">#REF!</definedName>
    <definedName name="Zaklad5">#REF!</definedName>
    <definedName name="Zhotovitel" localSheetId="0">KL!$D$8</definedName>
    <definedName name="Zhotovitel" localSheetId="1">#REF!</definedName>
    <definedName name="Zhotovitel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5" l="1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F163" i="3" l="1"/>
  <c r="F100" i="3"/>
  <c r="F25" i="3"/>
  <c r="F14" i="3"/>
  <c r="F33" i="3"/>
  <c r="F29" i="3"/>
  <c r="F117" i="3"/>
  <c r="F112" i="3"/>
  <c r="F109" i="3"/>
  <c r="F72" i="3"/>
  <c r="F94" i="3"/>
  <c r="F93" i="3" s="1"/>
  <c r="H93" i="3" s="1"/>
  <c r="F91" i="3"/>
  <c r="H91" i="3" s="1"/>
  <c r="F98" i="3"/>
  <c r="F97" i="3" s="1"/>
  <c r="H97" i="3" s="1"/>
  <c r="F84" i="3"/>
  <c r="F356" i="3"/>
  <c r="F362" i="3"/>
  <c r="H362" i="3" s="1"/>
  <c r="H361" i="3" s="1"/>
  <c r="F366" i="3"/>
  <c r="F365" i="3" s="1"/>
  <c r="H365" i="3" s="1"/>
  <c r="F88" i="3"/>
  <c r="F76" i="3"/>
  <c r="F75" i="3" s="1"/>
  <c r="H75" i="3" s="1"/>
  <c r="F86" i="3"/>
  <c r="F174" i="3"/>
  <c r="H174" i="3" s="1"/>
  <c r="F196" i="3"/>
  <c r="F139" i="3"/>
  <c r="F340" i="3"/>
  <c r="F339" i="3" s="1"/>
  <c r="F341" i="3" s="1"/>
  <c r="H341" i="3" s="1"/>
  <c r="F317" i="3"/>
  <c r="F316" i="3" s="1"/>
  <c r="H316" i="3" s="1"/>
  <c r="F178" i="3"/>
  <c r="F180" i="3" s="1"/>
  <c r="F171" i="3"/>
  <c r="F173" i="3" s="1"/>
  <c r="F186" i="3"/>
  <c r="F124" i="3"/>
  <c r="F103" i="3"/>
  <c r="F105" i="3"/>
  <c r="F323" i="3"/>
  <c r="F322" i="3" s="1"/>
  <c r="H322" i="3" s="1"/>
  <c r="F320" i="3"/>
  <c r="F319" i="3" s="1"/>
  <c r="F331" i="3"/>
  <c r="F330" i="3" s="1"/>
  <c r="H330" i="3" s="1"/>
  <c r="F46" i="3"/>
  <c r="F45" i="3" s="1"/>
  <c r="H45" i="3" s="1"/>
  <c r="H219" i="3"/>
  <c r="H218" i="3"/>
  <c r="H217" i="3"/>
  <c r="H216" i="3"/>
  <c r="F215" i="3"/>
  <c r="H215" i="3" s="1"/>
  <c r="F214" i="3"/>
  <c r="H214" i="3" s="1"/>
  <c r="F208" i="3"/>
  <c r="F210" i="3"/>
  <c r="F69" i="3"/>
  <c r="F67" i="3"/>
  <c r="F66" i="3" s="1"/>
  <c r="H66" i="3" s="1"/>
  <c r="F65" i="3"/>
  <c r="F55" i="3"/>
  <c r="F54" i="3" s="1"/>
  <c r="H54" i="3" s="1"/>
  <c r="F56" i="3"/>
  <c r="H56" i="3" s="1"/>
  <c r="F58" i="3"/>
  <c r="H58" i="3" s="1"/>
  <c r="F63" i="3"/>
  <c r="F62" i="3"/>
  <c r="F53" i="3"/>
  <c r="F43" i="3"/>
  <c r="F41" i="3"/>
  <c r="F50" i="3"/>
  <c r="F48" i="3"/>
  <c r="F40" i="3"/>
  <c r="F15" i="3"/>
  <c r="H339" i="3" l="1"/>
  <c r="F318" i="3"/>
  <c r="H318" i="3" s="1"/>
  <c r="F332" i="3"/>
  <c r="H332" i="3" s="1"/>
  <c r="H319" i="3"/>
  <c r="F321" i="3"/>
  <c r="H321" i="3" s="1"/>
  <c r="F324" i="3"/>
  <c r="H324" i="3" s="1"/>
  <c r="F39" i="3"/>
  <c r="F157" i="3"/>
  <c r="F156" i="3" s="1"/>
  <c r="H156" i="3" s="1"/>
  <c r="F237" i="3" l="1"/>
  <c r="F236" i="3" s="1"/>
  <c r="F159" i="3"/>
  <c r="F177" i="3"/>
  <c r="F137" i="3"/>
  <c r="F326" i="3"/>
  <c r="F135" i="3"/>
  <c r="F134" i="3" s="1"/>
  <c r="H134" i="3" s="1"/>
  <c r="F309" i="3"/>
  <c r="F145" i="3"/>
  <c r="F144" i="3" s="1"/>
  <c r="H144" i="3" s="1"/>
  <c r="F143" i="3"/>
  <c r="F142" i="3" s="1"/>
  <c r="H142" i="3" s="1"/>
  <c r="F141" i="3"/>
  <c r="F147" i="3"/>
  <c r="F202" i="3"/>
  <c r="F201" i="3" s="1"/>
  <c r="H201" i="3" s="1"/>
  <c r="F150" i="3"/>
  <c r="H150" i="3" s="1"/>
  <c r="F132" i="3"/>
  <c r="F133" i="3"/>
  <c r="F128" i="3"/>
  <c r="F130" i="3"/>
  <c r="F131" i="3" l="1"/>
  <c r="F129" i="3"/>
  <c r="H129" i="3" s="1"/>
  <c r="F138" i="3"/>
  <c r="H138" i="3" s="1"/>
  <c r="F149" i="3"/>
  <c r="F148" i="3" s="1"/>
  <c r="H148" i="3" s="1"/>
  <c r="F13" i="3"/>
  <c r="F12" i="3" s="1"/>
  <c r="F35" i="3" s="1"/>
  <c r="F152" i="3"/>
  <c r="H152" i="3" s="1"/>
  <c r="F392" i="3"/>
  <c r="H392" i="3" s="1"/>
  <c r="F385" i="3"/>
  <c r="F376" i="3"/>
  <c r="H376" i="3" s="1"/>
  <c r="F229" i="3"/>
  <c r="H229" i="3" s="1"/>
  <c r="F301" i="3"/>
  <c r="H301" i="3" s="1"/>
  <c r="F298" i="3"/>
  <c r="H298" i="3" s="1"/>
  <c r="F295" i="3"/>
  <c r="H295" i="3" s="1"/>
  <c r="F292" i="3"/>
  <c r="H292" i="3" s="1"/>
  <c r="F289" i="3"/>
  <c r="H289" i="3" s="1"/>
  <c r="F286" i="3"/>
  <c r="H286" i="3" s="1"/>
  <c r="F283" i="3"/>
  <c r="H283" i="3" s="1"/>
  <c r="F280" i="3"/>
  <c r="H280" i="3" s="1"/>
  <c r="F277" i="3"/>
  <c r="H277" i="3" s="1"/>
  <c r="F271" i="3"/>
  <c r="H271" i="3" s="1"/>
  <c r="F265" i="3"/>
  <c r="H265" i="3" s="1"/>
  <c r="F256" i="3"/>
  <c r="H256" i="3" s="1"/>
  <c r="F250" i="3"/>
  <c r="H250" i="3" s="1"/>
  <c r="F247" i="3"/>
  <c r="H247" i="3" s="1"/>
  <c r="F23" i="3" l="1"/>
  <c r="F21" i="3"/>
  <c r="F155" i="3"/>
  <c r="F154" i="3" s="1"/>
  <c r="H154" i="3" s="1"/>
  <c r="G47" i="37"/>
  <c r="G46" i="37"/>
  <c r="G45" i="37"/>
  <c r="G44" i="37"/>
  <c r="G43" i="37"/>
  <c r="G42" i="37"/>
  <c r="G41" i="37"/>
  <c r="G40" i="37"/>
  <c r="G39" i="37"/>
  <c r="G38" i="37"/>
  <c r="G37" i="37"/>
  <c r="G33" i="37"/>
  <c r="G32" i="37"/>
  <c r="G31" i="37"/>
  <c r="G30" i="37"/>
  <c r="G29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10" i="37"/>
  <c r="H40" i="36"/>
  <c r="H39" i="36"/>
  <c r="H38" i="36"/>
  <c r="H37" i="36"/>
  <c r="H36" i="36"/>
  <c r="H35" i="36"/>
  <c r="H34" i="36"/>
  <c r="H33" i="36"/>
  <c r="H32" i="36"/>
  <c r="H31" i="36"/>
  <c r="H30" i="36"/>
  <c r="H28" i="36"/>
  <c r="H27" i="36"/>
  <c r="H26" i="36"/>
  <c r="H25" i="36"/>
  <c r="H24" i="36"/>
  <c r="H23" i="36"/>
  <c r="H22" i="36"/>
  <c r="H21" i="36"/>
  <c r="H14" i="36"/>
  <c r="H15" i="36"/>
  <c r="H16" i="36"/>
  <c r="H17" i="36"/>
  <c r="H18" i="36"/>
  <c r="H19" i="36"/>
  <c r="H13" i="36"/>
  <c r="G48" i="36"/>
  <c r="G47" i="36"/>
  <c r="G46" i="36"/>
  <c r="G45" i="36"/>
  <c r="G43" i="36"/>
  <c r="G42" i="36"/>
  <c r="G41" i="36"/>
  <c r="G9" i="36"/>
  <c r="G10" i="36"/>
  <c r="G11" i="36"/>
  <c r="G8" i="36"/>
  <c r="G49" i="36" s="1"/>
  <c r="H86" i="35"/>
  <c r="H84" i="35"/>
  <c r="H83" i="35"/>
  <c r="H82" i="35"/>
  <c r="H79" i="35"/>
  <c r="H78" i="35"/>
  <c r="H71" i="35"/>
  <c r="H72" i="35"/>
  <c r="H73" i="35"/>
  <c r="H74" i="35"/>
  <c r="H70" i="35"/>
  <c r="G88" i="35"/>
  <c r="G87" i="35"/>
  <c r="G85" i="35"/>
  <c r="G81" i="35"/>
  <c r="G80" i="35"/>
  <c r="G77" i="35"/>
  <c r="G76" i="35"/>
  <c r="G75" i="35"/>
  <c r="G69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5" i="35"/>
  <c r="G212" i="32"/>
  <c r="G211" i="32"/>
  <c r="G210" i="32"/>
  <c r="G209" i="32"/>
  <c r="G208" i="32"/>
  <c r="G207" i="32"/>
  <c r="G206" i="32"/>
  <c r="G205" i="32"/>
  <c r="G199" i="32"/>
  <c r="G198" i="32"/>
  <c r="G197" i="32"/>
  <c r="G196" i="32"/>
  <c r="G195" i="32"/>
  <c r="G194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2" i="32"/>
  <c r="G171" i="32"/>
  <c r="G170" i="32"/>
  <c r="G169" i="32"/>
  <c r="G168" i="32"/>
  <c r="G167" i="32"/>
  <c r="G166" i="32"/>
  <c r="G165" i="32"/>
  <c r="G164" i="32"/>
  <c r="G163" i="32"/>
  <c r="G162" i="32"/>
  <c r="G161" i="32"/>
  <c r="G160" i="32"/>
  <c r="G159" i="32"/>
  <c r="G153" i="32"/>
  <c r="G155" i="32" s="1"/>
  <c r="G147" i="32"/>
  <c r="G146" i="32"/>
  <c r="G145" i="32"/>
  <c r="G144" i="32"/>
  <c r="G143" i="32"/>
  <c r="G142" i="32"/>
  <c r="G141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G118" i="32"/>
  <c r="G117" i="32"/>
  <c r="G116" i="32"/>
  <c r="G115" i="32"/>
  <c r="G114" i="32"/>
  <c r="G108" i="32"/>
  <c r="G107" i="32"/>
  <c r="G106" i="32"/>
  <c r="G105" i="32"/>
  <c r="I163" i="38"/>
  <c r="I161" i="38"/>
  <c r="I160" i="38"/>
  <c r="I159" i="38"/>
  <c r="I158" i="38"/>
  <c r="I157" i="38"/>
  <c r="I156" i="38"/>
  <c r="I155" i="38"/>
  <c r="I154" i="38"/>
  <c r="I153" i="38"/>
  <c r="I148" i="38"/>
  <c r="I147" i="38"/>
  <c r="I146" i="38"/>
  <c r="I145" i="38"/>
  <c r="I144" i="38"/>
  <c r="I143" i="38"/>
  <c r="I142" i="38"/>
  <c r="I140" i="38"/>
  <c r="I139" i="38"/>
  <c r="I138" i="38"/>
  <c r="I137" i="38"/>
  <c r="I136" i="38"/>
  <c r="I135" i="38"/>
  <c r="I134" i="38"/>
  <c r="I133" i="38"/>
  <c r="I132" i="38"/>
  <c r="I130" i="38"/>
  <c r="I129" i="38"/>
  <c r="I127" i="38"/>
  <c r="I126" i="38"/>
  <c r="I125" i="38"/>
  <c r="I124" i="38"/>
  <c r="I123" i="38"/>
  <c r="I122" i="38"/>
  <c r="I121" i="38"/>
  <c r="I119" i="38"/>
  <c r="I118" i="38"/>
  <c r="I117" i="38"/>
  <c r="I116" i="38"/>
  <c r="I115" i="38"/>
  <c r="I114" i="38"/>
  <c r="I113" i="38"/>
  <c r="I112" i="38"/>
  <c r="I111" i="38"/>
  <c r="I110" i="38"/>
  <c r="I105" i="38"/>
  <c r="I104" i="38"/>
  <c r="I103" i="38"/>
  <c r="I102" i="38"/>
  <c r="I101" i="38"/>
  <c r="I100" i="38"/>
  <c r="I99" i="38"/>
  <c r="I98" i="38"/>
  <c r="I97" i="38"/>
  <c r="I96" i="38"/>
  <c r="I95" i="38"/>
  <c r="I94" i="38"/>
  <c r="I93" i="38"/>
  <c r="I92" i="38"/>
  <c r="I91" i="38"/>
  <c r="I86" i="38"/>
  <c r="I81" i="38"/>
  <c r="I76" i="38"/>
  <c r="I75" i="38"/>
  <c r="I74" i="38"/>
  <c r="I73" i="38"/>
  <c r="I71" i="38"/>
  <c r="I70" i="38"/>
  <c r="I69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49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3" i="38"/>
  <c r="I22" i="38"/>
  <c r="I21" i="38"/>
  <c r="I20" i="38"/>
  <c r="I19" i="38"/>
  <c r="I18" i="38"/>
  <c r="I17" i="38"/>
  <c r="I16" i="38"/>
  <c r="I15" i="38"/>
  <c r="G214" i="32" l="1"/>
  <c r="G48" i="37"/>
  <c r="G34" i="37"/>
  <c r="G50" i="37"/>
  <c r="H34" i="14" s="1"/>
  <c r="G26" i="37"/>
  <c r="G51" i="36"/>
  <c r="H33" i="14" s="1"/>
  <c r="H49" i="36"/>
  <c r="G89" i="35"/>
  <c r="H89" i="35"/>
  <c r="H91" i="35" s="1"/>
  <c r="G66" i="35"/>
  <c r="G91" i="35"/>
  <c r="E169" i="38"/>
  <c r="G149" i="32"/>
  <c r="G201" i="32"/>
  <c r="G174" i="32"/>
  <c r="E168" i="38"/>
  <c r="G110" i="32"/>
  <c r="G217" i="32" l="1"/>
  <c r="E173" i="38"/>
  <c r="H35" i="14" s="1"/>
  <c r="G93" i="35"/>
  <c r="H32" i="14" s="1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E72" i="32"/>
  <c r="G72" i="32" s="1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9" i="32"/>
  <c r="G8" i="32"/>
  <c r="G7" i="32"/>
  <c r="G6" i="32"/>
  <c r="J55" i="31"/>
  <c r="J54" i="31"/>
  <c r="J53" i="31"/>
  <c r="J48" i="31"/>
  <c r="J47" i="31"/>
  <c r="J46" i="31"/>
  <c r="J45" i="31"/>
  <c r="J43" i="31"/>
  <c r="J42" i="31"/>
  <c r="J39" i="31"/>
  <c r="J37" i="31"/>
  <c r="J31" i="31"/>
  <c r="J23" i="31"/>
  <c r="J20" i="31"/>
  <c r="J17" i="31"/>
  <c r="J15" i="31"/>
  <c r="J13" i="31"/>
  <c r="J9" i="31"/>
  <c r="G11" i="32" l="1"/>
  <c r="G74" i="32"/>
  <c r="G93" i="32"/>
  <c r="G55" i="32"/>
  <c r="J51" i="31"/>
  <c r="J57" i="31" s="1"/>
  <c r="H31" i="14" s="1"/>
  <c r="F28" i="3"/>
  <c r="H28" i="3" s="1"/>
  <c r="F24" i="3"/>
  <c r="H24" i="3" s="1"/>
  <c r="F26" i="3"/>
  <c r="H26" i="3" s="1"/>
  <c r="F32" i="3"/>
  <c r="H32" i="3" s="1"/>
  <c r="F17" i="3"/>
  <c r="H17" i="3" s="1"/>
  <c r="F19" i="3"/>
  <c r="H19" i="3" s="1"/>
  <c r="F224" i="3"/>
  <c r="H224" i="3" s="1"/>
  <c r="F123" i="3"/>
  <c r="H123" i="3" s="1"/>
  <c r="F30" i="3"/>
  <c r="H30" i="3" s="1"/>
  <c r="G96" i="32" l="1"/>
  <c r="H36" i="14" s="1"/>
  <c r="H16" i="3"/>
  <c r="H18" i="3"/>
  <c r="I34" i="14" l="1"/>
  <c r="F34" i="14" s="1"/>
  <c r="I33" i="14"/>
  <c r="F33" i="14" s="1"/>
  <c r="I36" i="14" l="1"/>
  <c r="F36" i="14" s="1"/>
  <c r="I31" i="14"/>
  <c r="F31" i="14" s="1"/>
  <c r="H348" i="3" l="1"/>
  <c r="H347" i="3"/>
  <c r="F344" i="3"/>
  <c r="H344" i="3" s="1"/>
  <c r="F342" i="3"/>
  <c r="H342" i="3" s="1"/>
  <c r="F83" i="3"/>
  <c r="H83" i="3" s="1"/>
  <c r="F87" i="3"/>
  <c r="H87" i="3" l="1"/>
  <c r="F346" i="3"/>
  <c r="H346" i="3" s="1"/>
  <c r="H338" i="3" s="1"/>
  <c r="H105" i="3"/>
  <c r="F211" i="3"/>
  <c r="F209" i="3"/>
  <c r="H209" i="3" s="1"/>
  <c r="F68" i="3"/>
  <c r="H68" i="3" s="1"/>
  <c r="H62" i="3"/>
  <c r="H63" i="3"/>
  <c r="F49" i="3"/>
  <c r="H49" i="3" s="1"/>
  <c r="F47" i="3"/>
  <c r="H47" i="3" s="1"/>
  <c r="F42" i="3"/>
  <c r="H42" i="3" s="1"/>
  <c r="H180" i="3" l="1"/>
  <c r="H211" i="3"/>
  <c r="F213" i="3"/>
  <c r="H213" i="3" s="1"/>
  <c r="F52" i="3"/>
  <c r="H39" i="3"/>
  <c r="F44" i="3"/>
  <c r="H44" i="3" s="1"/>
  <c r="F10" i="3"/>
  <c r="F185" i="3"/>
  <c r="H38" i="3" l="1"/>
  <c r="H185" i="3"/>
  <c r="F187" i="3"/>
  <c r="H187" i="3" s="1"/>
  <c r="H131" i="3"/>
  <c r="F176" i="3"/>
  <c r="H176" i="3" s="1"/>
  <c r="F325" i="3"/>
  <c r="H325" i="3" s="1"/>
  <c r="F136" i="3" l="1"/>
  <c r="H236" i="3"/>
  <c r="F274" i="3"/>
  <c r="H274" i="3" s="1"/>
  <c r="F268" i="3"/>
  <c r="H268" i="3" s="1"/>
  <c r="F262" i="3"/>
  <c r="H262" i="3" s="1"/>
  <c r="F259" i="3"/>
  <c r="H259" i="3" s="1"/>
  <c r="F390" i="3"/>
  <c r="H390" i="3" s="1"/>
  <c r="F253" i="3" l="1"/>
  <c r="H253" i="3" s="1"/>
  <c r="F244" i="3"/>
  <c r="H244" i="3" s="1"/>
  <c r="F241" i="3"/>
  <c r="H241" i="3" s="1"/>
  <c r="F238" i="3"/>
  <c r="H238" i="3" s="1"/>
  <c r="F388" i="3"/>
  <c r="H388" i="3" s="1"/>
  <c r="H385" i="3"/>
  <c r="F383" i="3"/>
  <c r="H383" i="3" s="1"/>
  <c r="H382" i="3" s="1"/>
  <c r="H380" i="3"/>
  <c r="H379" i="3"/>
  <c r="F373" i="3"/>
  <c r="H373" i="3" s="1"/>
  <c r="H372" i="3" l="1"/>
  <c r="F308" i="3"/>
  <c r="H308" i="3" s="1"/>
  <c r="H358" i="3" l="1"/>
  <c r="H359" i="3"/>
  <c r="H335" i="3"/>
  <c r="H336" i="3"/>
  <c r="H220" i="3"/>
  <c r="H221" i="3"/>
  <c r="H203" i="3"/>
  <c r="H200" i="3" s="1"/>
  <c r="H204" i="3"/>
  <c r="H182" i="3"/>
  <c r="H181" i="3"/>
  <c r="F164" i="3"/>
  <c r="F162" i="3"/>
  <c r="H162" i="3" s="1"/>
  <c r="H166" i="3"/>
  <c r="F60" i="3"/>
  <c r="H164" i="3" l="1"/>
  <c r="H161" i="3"/>
  <c r="F95" i="3"/>
  <c r="F125" i="3"/>
  <c r="H125" i="3" s="1"/>
  <c r="H95" i="3" l="1"/>
  <c r="F122" i="3"/>
  <c r="F121" i="3" s="1"/>
  <c r="H121" i="3" s="1"/>
  <c r="F116" i="3"/>
  <c r="H116" i="3" s="1"/>
  <c r="F111" i="3"/>
  <c r="H111" i="3" s="1"/>
  <c r="F108" i="3"/>
  <c r="F114" i="3" s="1"/>
  <c r="F113" i="3" s="1"/>
  <c r="F118" i="3"/>
  <c r="F120" i="3" s="1"/>
  <c r="H120" i="3" s="1"/>
  <c r="F110" i="3" l="1"/>
  <c r="H110" i="3" s="1"/>
  <c r="H113" i="3"/>
  <c r="F115" i="3"/>
  <c r="H115" i="3" s="1"/>
  <c r="H118" i="3"/>
  <c r="H108" i="3"/>
  <c r="F85" i="3" l="1"/>
  <c r="F355" i="3"/>
  <c r="F357" i="3" s="1"/>
  <c r="F207" i="3"/>
  <c r="F370" i="3" s="1"/>
  <c r="H60" i="3"/>
  <c r="F64" i="3"/>
  <c r="F146" i="3"/>
  <c r="H146" i="3" s="1"/>
  <c r="F140" i="3"/>
  <c r="H140" i="3" s="1"/>
  <c r="F127" i="3"/>
  <c r="H127" i="3" s="1"/>
  <c r="F101" i="3"/>
  <c r="H101" i="3" s="1"/>
  <c r="F89" i="3"/>
  <c r="H89" i="3" s="1"/>
  <c r="H178" i="3"/>
  <c r="H171" i="3"/>
  <c r="F99" i="3"/>
  <c r="H99" i="3" s="1"/>
  <c r="H64" i="3" l="1"/>
  <c r="F80" i="3"/>
  <c r="F79" i="3" s="1"/>
  <c r="H85" i="3"/>
  <c r="H173" i="3"/>
  <c r="H170" i="3" s="1"/>
  <c r="H52" i="3"/>
  <c r="H51" i="3" s="1"/>
  <c r="H207" i="3"/>
  <c r="H206" i="3" s="1"/>
  <c r="H355" i="3"/>
  <c r="H357" i="3"/>
  <c r="F352" i="3"/>
  <c r="F351" i="3" s="1"/>
  <c r="H351" i="3" s="1"/>
  <c r="F354" i="3"/>
  <c r="F353" i="3" s="1"/>
  <c r="H353" i="3" s="1"/>
  <c r="H103" i="3"/>
  <c r="F327" i="3"/>
  <c r="F329" i="3" s="1"/>
  <c r="F158" i="3"/>
  <c r="H158" i="3" s="1"/>
  <c r="H136" i="3"/>
  <c r="H107" i="3" s="1"/>
  <c r="F71" i="3"/>
  <c r="H71" i="3" s="1"/>
  <c r="H10" i="3"/>
  <c r="H350" i="3" l="1"/>
  <c r="F78" i="3"/>
  <c r="F82" i="3"/>
  <c r="F81" i="3" s="1"/>
  <c r="F371" i="3" s="1"/>
  <c r="H79" i="3"/>
  <c r="F314" i="3"/>
  <c r="H314" i="3" s="1"/>
  <c r="H327" i="3"/>
  <c r="H329" i="3"/>
  <c r="F333" i="3"/>
  <c r="H333" i="3" s="1"/>
  <c r="F73" i="3"/>
  <c r="H73" i="3" s="1"/>
  <c r="H70" i="3" s="1"/>
  <c r="H12" i="3"/>
  <c r="F36" i="3"/>
  <c r="H36" i="3" s="1"/>
  <c r="F34" i="3"/>
  <c r="H34" i="3" s="1"/>
  <c r="F22" i="3"/>
  <c r="H22" i="3" s="1"/>
  <c r="F20" i="3"/>
  <c r="H20" i="3" s="1"/>
  <c r="I35" i="14"/>
  <c r="F35" i="14" s="1"/>
  <c r="I32" i="14"/>
  <c r="F32" i="14" s="1"/>
  <c r="H9" i="3" l="1"/>
  <c r="H313" i="3"/>
  <c r="H81" i="3"/>
  <c r="F77" i="3"/>
  <c r="H77" i="3" s="1"/>
  <c r="H74" i="3" s="1"/>
  <c r="F369" i="3"/>
  <c r="F188" i="3"/>
  <c r="F226" i="3"/>
  <c r="H226" i="3" s="1"/>
  <c r="H369" i="3" l="1"/>
  <c r="F368" i="3"/>
  <c r="F367" i="3" s="1"/>
  <c r="H367" i="3" s="1"/>
  <c r="H364" i="3" s="1"/>
  <c r="H188" i="3" l="1"/>
  <c r="H311" i="3" l="1"/>
  <c r="H310" i="3"/>
  <c r="H307" i="3" s="1"/>
  <c r="H305" i="3"/>
  <c r="H304" i="3"/>
  <c r="H235" i="3" s="1"/>
  <c r="H233" i="3"/>
  <c r="H232" i="3"/>
  <c r="H223" i="3" s="1"/>
  <c r="H198" i="3"/>
  <c r="H197" i="3"/>
  <c r="H184" i="3" s="1"/>
  <c r="H169" i="3" s="1"/>
  <c r="C22" i="17" l="1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F167" i="3"/>
  <c r="H167" i="3" s="1"/>
  <c r="H160" i="3" s="1"/>
  <c r="H8" i="3" s="1"/>
  <c r="G22" i="17" l="1"/>
  <c r="H29" i="14" s="1"/>
  <c r="H27" i="14"/>
  <c r="G27" i="14"/>
  <c r="H396" i="3" l="1"/>
  <c r="H30" i="14" s="1"/>
  <c r="H37" i="14" s="1"/>
  <c r="I29" i="14"/>
  <c r="I19" i="14" l="1"/>
  <c r="F29" i="14"/>
  <c r="I30" i="14"/>
  <c r="I37" i="14" s="1"/>
  <c r="F30" i="14" l="1"/>
  <c r="F37" i="14" s="1"/>
  <c r="I20" i="14" l="1"/>
  <c r="I21" i="14" s="1"/>
</calcChain>
</file>

<file path=xl/sharedStrings.xml><?xml version="1.0" encoding="utf-8"?>
<sst xmlns="http://schemas.openxmlformats.org/spreadsheetml/2006/main" count="2394" uniqueCount="1231">
  <si>
    <t>P.Č.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</si>
  <si>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</si>
  <si>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</si>
  <si>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</si>
  <si>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</si>
  <si>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</si>
  <si>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</si>
  <si>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</si>
  <si>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</si>
  <si>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</si>
  <si>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</si>
  <si>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</si>
  <si>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</si>
  <si>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</si>
  <si>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7</t>
  </si>
  <si>
    <t>HSV</t>
  </si>
  <si>
    <t>Práce a dodávky HSV</t>
  </si>
  <si>
    <t>m3</t>
  </si>
  <si>
    <t>m2</t>
  </si>
  <si>
    <t>PSV</t>
  </si>
  <si>
    <t>Práce a dodávky PSV</t>
  </si>
  <si>
    <t>%</t>
  </si>
  <si>
    <t>Celkem</t>
  </si>
  <si>
    <t>CELKEM</t>
  </si>
  <si>
    <t>Poznámka:</t>
  </si>
  <si>
    <t>Jednotkové položky zahrnují vedlejší rozpočtové náklady, náklady na montáž, dopravu, apod. a předepsané zkoušky, revize, manipulační řády, zaškolení obsluhy, není-li uvedeno jinak.</t>
  </si>
  <si>
    <t>kus</t>
  </si>
  <si>
    <t>Celkem za</t>
  </si>
  <si>
    <t>Stavba :</t>
  </si>
  <si>
    <t xml:space="preserve">Investor : </t>
  </si>
  <si>
    <t xml:space="preserve">Zhotovitel : </t>
  </si>
  <si>
    <t>Za zhotovitele :</t>
  </si>
  <si>
    <t>Za investora :</t>
  </si>
  <si>
    <t>_______________</t>
  </si>
  <si>
    <t>Rozpočtové náklady</t>
  </si>
  <si>
    <t>Základ pro DPH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</si>
  <si>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</si>
  <si>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</si>
  <si>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</si>
  <si>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</si>
  <si>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DPH celkem</t>
  </si>
  <si>
    <t>Vedlejší rozpočtové a ostatní náklady</t>
  </si>
  <si>
    <t>Celkem za stavbu</t>
  </si>
  <si>
    <t>Vedlejší rozpočtové náklady, náklady na provoz a zařízení staveniště, apod. a přesuny hmot u PSV jsou zahrnuty v jednotkových cenách jednotlivých položek - není-li uvedeno jinak.</t>
  </si>
  <si>
    <t>Zhotovitel je povinen provést na svůj náklad a své nebezpečí veškeré práce a dodávky, které jsou v projektové dokumentaci obsaženy, bez ohledu na to, zda jsou  obsaženy v textové a nebo ve výkresové části, jakož i práce, které v dokumentaci sice obsaženy nejsou, ale které jsou nezbytné pro provedení díla a jeho řádné fungování. Je v zájmu zhotovitele jako odborné firmy se řádně seznámit s projektovou dokumentací a pečlivě ji překontroloval a uvažovat s tím, že investor nebude brát zřetel na požadavky a námitky zhotovitele vyplývající z vad, nedostatečného či chybného popisu díla v projektové dokumentaci.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</si>
  <si>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</si>
  <si>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komplet</t>
  </si>
  <si>
    <t>Stavební práce a dodávky spojené s provedením funkčního celku HSV</t>
  </si>
  <si>
    <t>Např. dle §8, §9, §10 apod. vyhlášky č.230/2012 Sb., rozpočtových standardů apod.</t>
  </si>
  <si>
    <t>Zajištění a projednání všech nezbytných administrativních úkonů spojených s realizací stavby</t>
  </si>
  <si>
    <t>Zařízení a vybavení staveniště dle SoD apod.</t>
  </si>
  <si>
    <t>Náklady D+M informační tabule, billboard dle SoD</t>
  </si>
  <si>
    <t>Zajištění kompletační a koordinační činnosti spojených s realizací stavby a následným dáním do užívání</t>
  </si>
  <si>
    <t>Vytýčení inženýrských sítí  - vč. případných kopaných sond, vč.  projednání se správci, apod.</t>
  </si>
  <si>
    <t>Bezpečnostní hrazení, oplocení, zajištění přístupu na staveniště apod.. Zajištění ostraha majetku osob v průběhu realizace stavby a až do předání stavby do užívání. Zabezpečení staveniště, vnější stavby a ploch dotčených stavbou, vybavení proti odcizení a škodám</t>
  </si>
  <si>
    <t>Vytýčení prostorové polohy dopravní a technické infrastruktury</t>
  </si>
  <si>
    <t>Jednání s dotčenými institucemi, s dotčenými orgány státní správy a samosprávy - například zajištění dokladů nutných k získání kolaudačního souhlasu, povolení a rozhodnutí nutných k realizaci stavby apod.</t>
  </si>
  <si>
    <t>Zajištění průzkumů, zkoušek, atestů, sond a revizí apod. uvedených v rozhodnutích a v projektové dokumetnaci nezbytně nutných k provedení díla. Provedení veškerých měření a zkoušek, revizních zpráv apod. dle platné legislativy a dle SoD</t>
  </si>
  <si>
    <t>Technická řešení kolizí se skrytými konstrukcemi, které nemohl projektant předvídat (kolize s podzemními sítěmi a konstrukcemi, apod.)</t>
  </si>
  <si>
    <t>Technická řešení rozdílů skutečně zjištěného stavu se stavem předpokládaného projektantem apod.</t>
  </si>
  <si>
    <t>Dopravní opatření - dopravní a informační značení na komunikacích pro motorová a nemotorová vozidla a pro pěší, zajištění průchodů apod., projednání s příslušným odborem dopravy, zajištění údržby, čištění apod. dopravního značení a komunikací apod.</t>
  </si>
  <si>
    <t>Vypracování dokumentace skutečného provedení stavby  dle SoD, platné legislativy, podmínek a požadavků investora a uživatele zajištění požadovaných dokladů a vyjádření DOSS</t>
  </si>
  <si>
    <t>Ostatní práce a dodávky</t>
  </si>
  <si>
    <t>Kontrukce zámečnické</t>
  </si>
  <si>
    <t>99801R</t>
  </si>
  <si>
    <t xml:space="preserve">" - Výpomoce, doplňkové práce a dodávky,kompletace, zapravení vzniklých poškození, práce neuvedené, apod. " </t>
  </si>
  <si>
    <t>Konstrukce truhlářské</t>
  </si>
  <si>
    <t>76699901R</t>
  </si>
  <si>
    <t>76699902R</t>
  </si>
  <si>
    <t>76699903R</t>
  </si>
  <si>
    <t>76699904R</t>
  </si>
  <si>
    <t>76699906R</t>
  </si>
  <si>
    <t>76699907R</t>
  </si>
  <si>
    <t>m</t>
  </si>
  <si>
    <t>Konstrukce klempířské</t>
  </si>
  <si>
    <t>79099901R</t>
  </si>
  <si>
    <t>790</t>
  </si>
  <si>
    <t>Izolace tepelné</t>
  </si>
  <si>
    <t>71399901R</t>
  </si>
  <si>
    <t>" Skladba: "</t>
  </si>
  <si>
    <t xml:space="preserve">" Zednická výpomoc, doplňkové práce, kompletace, zřízení prostupů, zapravení prostupů, apod." </t>
  </si>
  <si>
    <t>999713R</t>
  </si>
  <si>
    <t>Stavební práce a dodávky spojené s provedením funkčního celku 713</t>
  </si>
  <si>
    <t>999764R</t>
  </si>
  <si>
    <t>Stavební práce a dodávky spojené s provedením funkčního celku 764</t>
  </si>
  <si>
    <t>999766R</t>
  </si>
  <si>
    <t>Stavební práce a dodávky spojené s provedením funkčního celku 766</t>
  </si>
  <si>
    <t>999767R</t>
  </si>
  <si>
    <t>Stavební práce a dodávky spojené s provedením funkčního celku 767</t>
  </si>
  <si>
    <t>76699905R</t>
  </si>
  <si>
    <t>Část:   Vedlejší a rozpočtové náklady</t>
  </si>
  <si>
    <t>Část:   Stavební rozpočet</t>
  </si>
  <si>
    <t xml:space="preserve"> </t>
  </si>
  <si>
    <t>Stavební rozpočet</t>
  </si>
  <si>
    <t>76499901R</t>
  </si>
  <si>
    <t>" Včetně veškerých systémových a kotvících prvků a veškerého příslušenství "</t>
  </si>
  <si>
    <t>76499902R</t>
  </si>
  <si>
    <t>Vzduchotechnika</t>
  </si>
  <si>
    <t>Zemní práce</t>
  </si>
  <si>
    <t>Svislé přemístění výkopku z horniny třídy těžitelnosti I skupiny 1 až 3 hl výkopu přes 4 do 8 m</t>
  </si>
  <si>
    <t>" Svislé přemístění výkopku "</t>
  </si>
  <si>
    <t>131</t>
  </si>
  <si>
    <t>Vodorovné přemístění výkopku z horniny třídy těžitelnosti I skupiny 1 až 3 stavebním kolečkem do 10 m</t>
  </si>
  <si>
    <t>" Vodorovné přemístění výkopku po staveništi "</t>
  </si>
  <si>
    <t>Uložení sypaniny na skládky nebo meziskládky</t>
  </si>
  <si>
    <t>" Uložení sypaniny na meziskládku s úpravou do předepsaného tvaru "</t>
  </si>
  <si>
    <t>Zásyp jam, šachet rýh nebo kolem objektů sypaninou se zhutněním</t>
  </si>
  <si>
    <t>Svislé konstrukce</t>
  </si>
  <si>
    <t>Kladení betonové dlažby komunikací pro pěší do lože z kameniva velikosti přes 0,09 do 0,25 m2 pl do 50 m2</t>
  </si>
  <si>
    <t>Komunikace</t>
  </si>
  <si>
    <t>Konstrukce tesařské</t>
  </si>
  <si>
    <t>Úpravy povrchů</t>
  </si>
  <si>
    <t>Provedení izolace proti zemní vlhkosti vodorovné za studena nátěrem penetračním</t>
  </si>
  <si>
    <t>Izolace proti vlhkosti</t>
  </si>
  <si>
    <t>emulze asfaltová penetrační</t>
  </si>
  <si>
    <t>l</t>
  </si>
  <si>
    <t>Provedení izolace proti zemní vlhkosti pásy přitavením vodorovné NAIP</t>
  </si>
  <si>
    <t>Výztuž mazanin svařovanými sítěmi Kari</t>
  </si>
  <si>
    <t>t</t>
  </si>
  <si>
    <t>Nátěr penetrační na podlahu</t>
  </si>
  <si>
    <t>Podlahy z dlaždic</t>
  </si>
  <si>
    <t>Izolace pod dlažbu nátěrem nebo stěrkou ve dvou vrstvách</t>
  </si>
  <si>
    <t>Montáž podlah keramických velkoformátových hladkých lepených flexibilním lepidlem přes 4 do 6 ks/m2</t>
  </si>
  <si>
    <t>dlažba velkoformátová keramická slinutá hladká do interiéru i exteriéru přes 4 do 6ks/m2</t>
  </si>
  <si>
    <t>Osazování ocelových válcovaných nosníků na zdivu I, IE, U, UE nebo L do č. 12 nebo výšky do 120 mm</t>
  </si>
  <si>
    <t>Konstrukce suché výstavby</t>
  </si>
  <si>
    <t>Odsekání a odebrání obkladů stěn plochy přes 1 m2</t>
  </si>
  <si>
    <t>Příčka z pórobetonových hladkých tvárnic na tenkovrstvou maltu tl 100 mm</t>
  </si>
  <si>
    <t>342</t>
  </si>
  <si>
    <t>130</t>
  </si>
  <si>
    <t>Nátěr penetrační na stěnu</t>
  </si>
  <si>
    <t>Obklady keramické</t>
  </si>
  <si>
    <t>" Penetrace před provedením obkladu 1NP "</t>
  </si>
  <si>
    <t>Izolace pod obklad nátěrem nebo stěrkou ve dvou vrstvách</t>
  </si>
  <si>
    <t>" Provedení HI stěrky před provedením povrchu z dlaždic "</t>
  </si>
  <si>
    <t>Montáž obkladů vnitřních keramických velkoformátových hladkých přes 4 do 6 ks/m2 lepených flexibilním lepidlem</t>
  </si>
  <si>
    <t>Potažení vnitřních stěn sklovláknitým pletivem vtlačeným do tenkovrstvé hmoty</t>
  </si>
  <si>
    <t>Montáž ochranné sítě z textilie z umělých vláken</t>
  </si>
  <si>
    <t>" Montáž ochranné sítě  zavěšené na konstrukci lešení z textilie z umělých vláken "</t>
  </si>
  <si>
    <t>Demontáž ochranné sítě z textílie z umělých vláken</t>
  </si>
  <si>
    <t>Příplatek k ochranné síti za první a ZKD den použití</t>
  </si>
  <si>
    <t>Montáž záchytné stříšky š do 2 m</t>
  </si>
  <si>
    <t>" Montáž záchytné stříšky  zřizované současně s lehkým nebo těžkým lešením, šířky přes 1,5 do 2,0 m "</t>
  </si>
  <si>
    <t>Demontáž záchytné stříšky š přes 2,5 m</t>
  </si>
  <si>
    <t>Příplatek k záchytné stříšce š do 2 m za první a ZKD den použití</t>
  </si>
  <si>
    <t>" Předpokládaná doba užití lešení 60 dní " 60*10</t>
  </si>
  <si>
    <t>Vyčištění budov bytové a občanské výstavby při výšce podlaží do 4 m</t>
  </si>
  <si>
    <t>Malby</t>
  </si>
  <si>
    <t>Základní akrylátová jednonásobná bezbarvá penetrace podkladu v místnostech v do 3,80 m</t>
  </si>
  <si>
    <t>" Penetrace před provedením malby "</t>
  </si>
  <si>
    <t>Dvojnásobné bílé malby ze směsí za mokra výborně oděruvzdorných v místnostech v do 3,80 m</t>
  </si>
  <si>
    <t>" Malby vnitřních omítaných povrchů "</t>
  </si>
  <si>
    <t>Příplatek k odvozu suti a vybouraných hmot na skládku ZKD 1 km přes 1 km</t>
  </si>
  <si>
    <t>997013603R</t>
  </si>
  <si>
    <t>Poplatek za uložení vybouraných hmot na skládce a likvidace</t>
  </si>
  <si>
    <t>999711R</t>
  </si>
  <si>
    <t>Stavební práce a dodávky spojené s provedením funkčního celku 711</t>
  </si>
  <si>
    <t>999762R</t>
  </si>
  <si>
    <t>Stavební práce a dodávky spojené s provedením funkčního celku 762</t>
  </si>
  <si>
    <t>999763R</t>
  </si>
  <si>
    <t>Stavební práce a dodávky spojené s provedením funkčního celku 763</t>
  </si>
  <si>
    <t>999771R</t>
  </si>
  <si>
    <t>Stavební práce a dodávky spojené s provedením funkčního celku 771</t>
  </si>
  <si>
    <t>999781R</t>
  </si>
  <si>
    <t>Stavební práce a dodávky spojené s provedením funkčního celku 781</t>
  </si>
  <si>
    <t>10</t>
  </si>
  <si>
    <t>17</t>
  </si>
  <si>
    <t>18</t>
  </si>
  <si>
    <t>30</t>
  </si>
  <si>
    <t>Statutární město Opava, Horní Náměstí 382/69, 746 26 Opava, Město</t>
  </si>
  <si>
    <t>Architektonická kancelář Ing. arch. Jaroslav Chvátal, Hlavní 316/149, 746 06 Opava</t>
  </si>
  <si>
    <t>Investor:   Statutární město Opava, Horní Náměstí 382/69, 746 26 Opava, Město</t>
  </si>
  <si>
    <t>Stínění a čalounické úpravy</t>
  </si>
  <si>
    <t>78699901R</t>
  </si>
  <si>
    <t>Přesun hmot procentní pro stínění a čalounické úpravy v objektech v do 6 m</t>
  </si>
  <si>
    <t>999786R</t>
  </si>
  <si>
    <t>Stavební práce a dodávky spojené s provedením funkčního celku 786</t>
  </si>
  <si>
    <t>Demontáž mříží pevných nebo otevíravých</t>
  </si>
  <si>
    <t>Přesun hmot procentní pro zámečnické konstrukce v objektech v do 6 m</t>
  </si>
  <si>
    <t>" Včetně kotvících prvků, systémových prvků, veškerého příslušenství a příslušenství dle PD "</t>
  </si>
  <si>
    <t>79099902R</t>
  </si>
  <si>
    <t>79099903R</t>
  </si>
  <si>
    <t>79099904R</t>
  </si>
  <si>
    <t>79099905R</t>
  </si>
  <si>
    <t>" Průběžný dilatační pryžový profil nerezová lišta s napojením na podlahovinu "</t>
  </si>
  <si>
    <t>Vnitřní parapet dl 1200mm - Specifikace dle PD - T1</t>
  </si>
  <si>
    <t>76699921R</t>
  </si>
  <si>
    <t>" Včetně veškerých systémových a kotvících prvků, ukončovacích a napojovacích prvků, parotěsného napojení a zatěsnění a veškerého příslušenství "</t>
  </si>
  <si>
    <t>76699922R</t>
  </si>
  <si>
    <t>76699923R</t>
  </si>
  <si>
    <t>76699924R</t>
  </si>
  <si>
    <t>76699925R</t>
  </si>
  <si>
    <t>76699931R</t>
  </si>
  <si>
    <t>76699932R</t>
  </si>
  <si>
    <t>76699934R</t>
  </si>
  <si>
    <t>76699935R</t>
  </si>
  <si>
    <t>76699936R</t>
  </si>
  <si>
    <t>76699937R</t>
  </si>
  <si>
    <t>Demontáž podlah z dlaždic keramických kladených do malty</t>
  </si>
  <si>
    <t>Podlahy povlakové</t>
  </si>
  <si>
    <t>Bourání podkladů pod dlažby betonových s potěrem nebo teracem tl do 100 mm pl přes 4 m2</t>
  </si>
  <si>
    <t>Odstranění izolace proti zemní vlhkosti vodorovné</t>
  </si>
  <si>
    <t>Hloubení zapažených jam v soudržných horninách třídy těžitelnosti I skupiny 3 ručně</t>
  </si>
  <si>
    <t>Bourání zdiva nadzákladového ze ŽB přes 1 m3</t>
  </si>
  <si>
    <t>Bourání příček z cihel pálených na MVC tl do 100 mm</t>
  </si>
  <si>
    <t>Rozebrání dlažeb z betonových nebo kamenných dlaždic s ložem z kameniva komunikací pro pěší ručně</t>
  </si>
  <si>
    <t>Základy</t>
  </si>
  <si>
    <t>Základové desky ze ŽB bez zvýšených nároků na prostředí tř. C 20/25</t>
  </si>
  <si>
    <t>Zřízení bednění základových desek</t>
  </si>
  <si>
    <t>Odstranění bednění základových desek</t>
  </si>
  <si>
    <t>Výztuž základových desek svařovanými sítěmi Kari</t>
  </si>
  <si>
    <t>273</t>
  </si>
  <si>
    <t>274</t>
  </si>
  <si>
    <t>Základové pásy z betonu tř. C 20/25</t>
  </si>
  <si>
    <t>Zdivo z pórobetonových tvárnic na pero a drážku přes P2 do P4 přes 450 do 600 kg/m3 na tenkovrstvou maltu tl 250 mm</t>
  </si>
  <si>
    <t>Příčka z pórobetonových hladkých tvárnic na tenkovrstvou maltu tl 150 mm</t>
  </si>
  <si>
    <t>Překlad nenosný pórobetonový š 125 mm v do 250 mm na tenkovrstvou maltu dl přes 1000 do 1250 mm</t>
  </si>
  <si>
    <t>SDK podhled desky 1xA 12,5 bez izolace dvouvrstvá spodní kce profil CD+UD</t>
  </si>
  <si>
    <t>SDK podhled deska 1xH2 12,5 bez izolace dvouvrstvá spodní kce profil CD+UD</t>
  </si>
  <si>
    <t>Montáž SDK kazetového podhledu z kazet 600x600 mm na zavěšenou polozapuštěnou nosnou konstrukci</t>
  </si>
  <si>
    <t>pás asfaltový natavitelný modifikovaný SBS tl 4,0mm s vložkou ze skleněné tkaniny a spalitelnou PE fólií nebo jemnozrnným minerálním posypem na horním povrchu</t>
  </si>
  <si>
    <t>" - povrchová úprava samočistící tenkovrstvá omítka, pastovitá s fotokatalytickým efektem, minerální, vysoce paropropustná, zrnitost 1,5mm</t>
  </si>
  <si>
    <t>" - vysoce jakostní základní nátěr pro vyrovnání nasákavosti podkladu a zajištění přilnavosti omítek "</t>
  </si>
  <si>
    <t>" - sklotextilní síťovina, oka 4x4mm, kladena s přesahem min 100mm "</t>
  </si>
  <si>
    <t>Penetrační nátěr vnějších stěn nanášený ručně</t>
  </si>
  <si>
    <t>Penetrační disperzní nátěr vnitřních stěn nanášený ručně</t>
  </si>
  <si>
    <t>Vápenná omítka štuková dvouvrstvá vnitřních stěn nanášená ručně</t>
  </si>
  <si>
    <t xml:space="preserve">" Provedení nových omítek dvouvrstvých tl jádrové omítky 10mm a tl štuku 3mm " </t>
  </si>
  <si>
    <t>Příplatek k vápenné omítce vnitřních stěn za každých dalších 5 mm tloušťky ručně</t>
  </si>
  <si>
    <t>" Malby SDK podhledů "</t>
  </si>
  <si>
    <t>obklad velkoformátový bělninový hladký přes 4 do 6ks/m2</t>
  </si>
  <si>
    <t>Potěr cementový samonivelační litý C25 tl přes 45 do 50 mm</t>
  </si>
  <si>
    <t>Příplatek k cementovému samonivelačnímu litému potěru C25 ZKD 5 mm tl přes 50 mm</t>
  </si>
  <si>
    <t>Vodou ředitelná penetrace savého podkladu povlakových podlah</t>
  </si>
  <si>
    <t>Lepení pásů z PVC standardním lepidlem</t>
  </si>
  <si>
    <t>Přesun hmot procentní pro podlahy povlakové v objektech v do 6 m</t>
  </si>
  <si>
    <t>999776R</t>
  </si>
  <si>
    <t>Stavební práce a dodávky spojené s provedením funkčního celku 776</t>
  </si>
  <si>
    <t>Přesun hmot procentní pro obklady keramické v objektech v do 6 m</t>
  </si>
  <si>
    <t>Přesun hmot procentní pro podlahy z dlaždic v objektech v do 6 m</t>
  </si>
  <si>
    <t>Přesun hmot procentní pro kce truhlářské v objektech v do 6 m</t>
  </si>
  <si>
    <t>Přesun hmot procentní pro konstrukce klempířské v objektech v do 6 m</t>
  </si>
  <si>
    <t>Přesun hmot procentní pro sádrokartonové konstrukce v objektech v do 6 m</t>
  </si>
  <si>
    <t>Přesun hmot procentní pro kce tesařské v objektech v do 6 m</t>
  </si>
  <si>
    <t>Přesun hmot procentní pro izolace tepelné v objektech v do 6 m</t>
  </si>
  <si>
    <t>Přesun hmot procentní pro izolace proti vodě, vlhkosti a plynům v objektech v do 6 m</t>
  </si>
  <si>
    <t xml:space="preserve">" Čistý úklid před předáním hotové stavby " </t>
  </si>
  <si>
    <t>Přesun hmot</t>
  </si>
  <si>
    <t>Přesun hmot pro budovy zděné v do 6 m</t>
  </si>
  <si>
    <t>dlažba plošná betonová 400x400x50mm přírodní</t>
  </si>
  <si>
    <t>Demontáž lešení řadového trubkového těžkého s podlahami zatížení do 300 kg/m2 š od 1,2 do 1,5 m v do 10 m</t>
  </si>
  <si>
    <t>Montáž lešení řadového trubkového těžkého s podlahami zatížení do 300 kg/m2 š od 1,5 do 1,8 m v do 10 m</t>
  </si>
  <si>
    <t>Příplatek k lešení řadovému trubkovému těžkému s podlahami š 1,5 m v 10 m za první a ZKD den použití</t>
  </si>
  <si>
    <t>kg</t>
  </si>
  <si>
    <t>8</t>
  </si>
  <si>
    <t>9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</si>
  <si>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</si>
  <si>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</si>
  <si>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</si>
  <si>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</si>
  <si>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</si>
  <si>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</si>
  <si>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</si>
  <si>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</si>
  <si>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</si>
  <si>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</si>
  <si>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</si>
  <si>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</si>
  <si>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</si>
  <si>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</si>
  <si>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</si>
  <si>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</si>
  <si>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</si>
  <si>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</si>
  <si>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</si>
  <si>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I.Ceny el. instalačního materiálu  (C21M, C22M, C36M, C38M, C46M)</t>
  </si>
  <si>
    <t>PČ</t>
  </si>
  <si>
    <t>Typ</t>
  </si>
  <si>
    <t>Množství</t>
  </si>
  <si>
    <t>Jedn. cena</t>
  </si>
  <si>
    <t>Rozvaděčová technika  (není-li  uvedeno  jinak)</t>
  </si>
  <si>
    <t>1.</t>
  </si>
  <si>
    <t>M</t>
  </si>
  <si>
    <t>ks</t>
  </si>
  <si>
    <t>2.</t>
  </si>
  <si>
    <t>3.</t>
  </si>
  <si>
    <t>4.</t>
  </si>
  <si>
    <t>5.</t>
  </si>
  <si>
    <t>Hlavní ochranná přípojnice ozn. MET - 300x200x150mm, viz. výkres</t>
  </si>
  <si>
    <t>Elektroinstalační  materiál,  el. přístroje,  el. spotřebiče</t>
  </si>
  <si>
    <t>Spínač č.1, IP40, bílý-lesk, do krabice</t>
  </si>
  <si>
    <t>Přepínač č.5, IP40, bílý-lesk, do krabice</t>
  </si>
  <si>
    <t>Přepínač č.6, IP40, bílý-lesk, do krabice</t>
  </si>
  <si>
    <t>Spínač č.1 do vlhka, IP54, bílá-šedá, polozapuštěný</t>
  </si>
  <si>
    <t>6.</t>
  </si>
  <si>
    <t>Spínač automatický se snímačem pohybu 180°/12m, nástěnný, 230V/1200W, IP44</t>
  </si>
  <si>
    <t>7.</t>
  </si>
  <si>
    <t>Jednoduchá zásuvka 16A/230V + clonky, do krabice, bílá-lesk, IP40</t>
  </si>
  <si>
    <t>8.</t>
  </si>
  <si>
    <t>Jednoduchá zásuvka 16A/230V + clonky, do krabice, šedá-lesk, IP40, pro PC</t>
  </si>
  <si>
    <t>9.</t>
  </si>
  <si>
    <t>Jednoduchá zásuvka 16A/230V + clonky + T3, do krabice, šedá-lesk, IP40, PC</t>
  </si>
  <si>
    <t>10.</t>
  </si>
  <si>
    <t>11.</t>
  </si>
  <si>
    <t>12.</t>
  </si>
  <si>
    <t>Krabice KU 68 - prázdná (pod omítku)</t>
  </si>
  <si>
    <t>13.</t>
  </si>
  <si>
    <t>Krabice KU 68 - prázdná + víčko (pod omítku)</t>
  </si>
  <si>
    <t>14.</t>
  </si>
  <si>
    <t>Krabice KR 97 - prázdná + víčko (pod omítku)</t>
  </si>
  <si>
    <t>15.</t>
  </si>
  <si>
    <t>Krabice KO125 + víčko (pod omítku)</t>
  </si>
  <si>
    <t>16.</t>
  </si>
  <si>
    <t>Krabice IP54, nástěnná, šedá, malá 100x100x61mm</t>
  </si>
  <si>
    <t>17.</t>
  </si>
  <si>
    <t>Krabice IP54, nástěnná, šedá, malá 140x140x70mm</t>
  </si>
  <si>
    <t>18.</t>
  </si>
  <si>
    <t>Trubka ohebná PVC, prům.25mm (sporák, podlah. krabice aj.)</t>
  </si>
  <si>
    <t>19.</t>
  </si>
  <si>
    <t>Trubka korudovaná 40/32 (prostup v podlaze, zemině, stěnu aj.)</t>
  </si>
  <si>
    <t>20.</t>
  </si>
  <si>
    <t>21.</t>
  </si>
  <si>
    <t>22.</t>
  </si>
  <si>
    <t>23.</t>
  </si>
  <si>
    <t>24.</t>
  </si>
  <si>
    <t>Hmoždinky prům.8mm (běžné trasy - zdivo)</t>
  </si>
  <si>
    <t>25.</t>
  </si>
  <si>
    <t>Vruty chromované (běžné trasy - zdivo)</t>
  </si>
  <si>
    <t>26.</t>
  </si>
  <si>
    <t>Svorka lámací 12x4mm2</t>
  </si>
  <si>
    <t>27.</t>
  </si>
  <si>
    <t>Bezšroubová svorka do instal. krabice 5x0,5-2,5mm</t>
  </si>
  <si>
    <t>28.</t>
  </si>
  <si>
    <t>Svorka na potrubí pro OP</t>
  </si>
  <si>
    <t>29.</t>
  </si>
  <si>
    <t>Pásek Cu 30cm pro svorku</t>
  </si>
  <si>
    <t>30.</t>
  </si>
  <si>
    <t>Ekvipotenciální svorkovnice PE-12 pro ochranné místní pospojování v krabici KO125 a IP55</t>
  </si>
  <si>
    <t>31.</t>
  </si>
  <si>
    <t>32.</t>
  </si>
  <si>
    <t>33.</t>
  </si>
  <si>
    <t>34.</t>
  </si>
  <si>
    <t>35.</t>
  </si>
  <si>
    <t>Protipožární ucpávky - tmely - prostupy požárními úseky</t>
  </si>
  <si>
    <t>36.</t>
  </si>
  <si>
    <t>Super-multifunkční relé 8A/230V do krabice a pod vypínač</t>
  </si>
  <si>
    <t>37.</t>
  </si>
  <si>
    <t>Svazkový ocelový držák pro 15ks kabelů (do podhledu SDK)</t>
  </si>
  <si>
    <t>38.</t>
  </si>
  <si>
    <t>Svazkový ocelový držák pro 30ks kabelů (do podhledu SDK)</t>
  </si>
  <si>
    <t>39.</t>
  </si>
  <si>
    <t xml:space="preserve">Štítek z PVC na označení kabelu </t>
  </si>
  <si>
    <t>Stavební hřebíky 100</t>
  </si>
  <si>
    <t>Páska izolační PVC 19/30m</t>
  </si>
  <si>
    <t>Sádra  (kg)</t>
  </si>
  <si>
    <t xml:space="preserve">Svítidla a světelné zdroje vč. zdrojů </t>
  </si>
  <si>
    <t>Poplatek za recyklaci dle zákona - svítidel</t>
  </si>
  <si>
    <t>Vodiče  a  kabely</t>
  </si>
  <si>
    <t xml:space="preserve">CYKY-J 3x1,5  </t>
  </si>
  <si>
    <t>CYKY-J 3x2,5</t>
  </si>
  <si>
    <t>CYKY-J 5x1,5</t>
  </si>
  <si>
    <t>1-CYKY-J 5x25</t>
  </si>
  <si>
    <t>H07V (CY) 2,5 (rozvaděč + protah. drát)</t>
  </si>
  <si>
    <t>H07V (CY) 4 (místní pospojování aj.)</t>
  </si>
  <si>
    <t>H07V (CY) 6 (místní pospojování, ochrana před bleskem, aj.)</t>
  </si>
  <si>
    <t xml:space="preserve">H07V (CYA) 16 - (hlavní a místní pospojování) </t>
  </si>
  <si>
    <t xml:space="preserve">H07V (CYA) 25 - (hlavní pospojování) </t>
  </si>
  <si>
    <t>Svorka křížová SK3 (pásek-kulatina) 60x60 mm s destičkou, V4A, Rd 8-10/Fl 40</t>
  </si>
  <si>
    <t>Drát Nerez V4A, Rd 10, prům.10mm, 0,62kg/m (m)</t>
  </si>
  <si>
    <t>Elektroinstalační materiál celkem bez DPH (silnoproud)</t>
  </si>
  <si>
    <t>II. Montážní práce (C21M - elektromontáže, C22M - montáže sdělovacích zařízení, C36M - měření a regulace, C46M -  zemní práce - výkopy pro kabely, 801-3 - stavební práce - výseky)</t>
  </si>
  <si>
    <t>Montáž rozvaděčové techniky (není-li uvedeno jinak)</t>
  </si>
  <si>
    <t>K</t>
  </si>
  <si>
    <t>Montáž elektroinstalačního materiálů, el. přístrojů, el. spotřebičů</t>
  </si>
  <si>
    <t>Spínač č.1, IP40, do krabice</t>
  </si>
  <si>
    <t>Přepínač č.5, IP40, do krabice</t>
  </si>
  <si>
    <t>Přepínač č.6, IP40, do krabice</t>
  </si>
  <si>
    <t>Spínač automatický se snímačem pohybu, IP44, nástěnný</t>
  </si>
  <si>
    <t xml:space="preserve">Zásuvka 16A/230V, zapuštěná do krabice </t>
  </si>
  <si>
    <t>Zásuvka 16A/230V, zapuštěná do krabice s ochranou proti přepětí</t>
  </si>
  <si>
    <t>Krab.přístrojová (prům. 68mm) bez zapojení</t>
  </si>
  <si>
    <t>Krab.odbočná (prům. 68 + víčko) kruh. bez zap.</t>
  </si>
  <si>
    <t>Krabice odbočná (prům. 97) kruhová bez zapojení</t>
  </si>
  <si>
    <t>Krabice KO 125 (110) bez zapojení</t>
  </si>
  <si>
    <t>Trubka ohebná PVC prům.25mm pod omítku</t>
  </si>
  <si>
    <t>Trubka korudovaná 40/32 (prostup do rozvaděče, přes stěnu, podlahu)</t>
  </si>
  <si>
    <t>Lišta vkládací 20x20mm</t>
  </si>
  <si>
    <t>Lišta vkládací 40x40mm</t>
  </si>
  <si>
    <t>Hmoždinky prům.8mm včetně vrutu</t>
  </si>
  <si>
    <t>Svorka lámací 12ks 4mm</t>
  </si>
  <si>
    <t>Svorka na potrubí vč. pásku</t>
  </si>
  <si>
    <t>Ochranný spoj pevně 4-25mm (SEBT, CYA aj.)</t>
  </si>
  <si>
    <t>Protipožární ucpávky - tmely - prostupy požárními úseky (m2) - stěny pož. úseků</t>
  </si>
  <si>
    <t>Elektronické vent. relé v krabici a pod vypínač</t>
  </si>
  <si>
    <t>Svazkový ocelový držák pro 15ks a 30ks kabelů</t>
  </si>
  <si>
    <t xml:space="preserve">Montáž kabelového štítku </t>
  </si>
  <si>
    <t>Osazení a připojení el. strojů a spotřebičů  (výtah, sporák, ventilátory, stroje aj.)</t>
  </si>
  <si>
    <t>Montáž svítidel včetně světelných zdrojů</t>
  </si>
  <si>
    <t>LED svítidla ozn. A - N</t>
  </si>
  <si>
    <t>Uložení vodičů a kabelů</t>
  </si>
  <si>
    <t>CYKY-O 3x1,5 (pod omítkou)</t>
  </si>
  <si>
    <t xml:space="preserve">CYKY-J  3x1,5  </t>
  </si>
  <si>
    <t>CYKY-J  3x2,5</t>
  </si>
  <si>
    <t>CYKY-J  5x1,5</t>
  </si>
  <si>
    <t>Svorky nad 2 šrouby (ST, SJ, SK, SO)</t>
  </si>
  <si>
    <t>Drát Nerez prům. 10mm bez podpěr v zemi</t>
  </si>
  <si>
    <t>Zednické a zemní práce + materiál</t>
  </si>
  <si>
    <t>Sekání (vrtání) kapes 10x10x5  cihla</t>
  </si>
  <si>
    <t xml:space="preserve">Sekání (vrtání) kapes 15x15x10  </t>
  </si>
  <si>
    <t>Řezání  rýh  3x3 cihla</t>
  </si>
  <si>
    <t>Řezání  rýh  5x3 cihla</t>
  </si>
  <si>
    <t>Řezání  rýh  7x5 cihla</t>
  </si>
  <si>
    <t>Sekání  rýh  15x5 cihla</t>
  </si>
  <si>
    <t>Průraz  zdí  15cm  beton</t>
  </si>
  <si>
    <t>Průraz  zdí  30cm  beton</t>
  </si>
  <si>
    <t>Vyřezání otvoru 0,1m2 tl.do 250mm, beton (MET)</t>
  </si>
  <si>
    <t>Vyřezání otvoru 0,2m2 tl.do 250mm, beton (ozn. RSP)</t>
  </si>
  <si>
    <t>Vnitrostaveništní doprava suti a vybouraných hmot pro budovy v do 9 m ručně</t>
  </si>
  <si>
    <t>Odvoz suti a vybouraných hmot na skládku nebo meziskládku do 10 km od místa stavby se složením</t>
  </si>
  <si>
    <t>Poplatek za uložení stavebního odpadu na skládce (skládkovné) směsného stavebního a demoličního</t>
  </si>
  <si>
    <t>Lešení pomocné pro objekty pozemních staveb s lešeňovou podlahou v do 1,9 m zatížení do 150 kg/m2 (pro demontáže a montáže) pro 1.NP</t>
  </si>
  <si>
    <t>Hodinové zúčtovací sazby</t>
  </si>
  <si>
    <t>Příprava staveniště</t>
  </si>
  <si>
    <t>h</t>
  </si>
  <si>
    <t>Vyměřování svítidel, zásuvek, spínačů, kab. tras, aj.</t>
  </si>
  <si>
    <t>Demontáž st. elektroinstalace, vyhledání stáv. instalace aj.</t>
  </si>
  <si>
    <t>Spolupráce s revizním technikem</t>
  </si>
  <si>
    <t>Výchozí revize včetně revizní zprávy (hromosvod + elektroinstalace)</t>
  </si>
  <si>
    <t>Výkresová dokumentace skutečného provedení stavby, půdorysy + rozvaděče (h)</t>
  </si>
  <si>
    <t>Koordinační činnost s ostatními profesemi</t>
  </si>
  <si>
    <t>Komplexní přezkoušení - oživení</t>
  </si>
  <si>
    <t>Montáž celkem bez DPH (silnoproud)</t>
  </si>
  <si>
    <t>VÝKAZ VÝMĚR</t>
  </si>
  <si>
    <t>Slaboproudé Systémy</t>
  </si>
  <si>
    <t>kód 
položky</t>
  </si>
  <si>
    <t>název položky</t>
  </si>
  <si>
    <t>množ.</t>
  </si>
  <si>
    <t>cena 
/ jedn.</t>
  </si>
  <si>
    <t>celkem</t>
  </si>
  <si>
    <t>ceník</t>
  </si>
  <si>
    <t>typ
položky</t>
  </si>
  <si>
    <t>MATERIÁL :</t>
  </si>
  <si>
    <t>VO</t>
  </si>
  <si>
    <t>vlastní</t>
  </si>
  <si>
    <t>patch panel  24 x RJ45 cat 5e</t>
  </si>
  <si>
    <t>zásuvka 2 x RJ45 cat 5e</t>
  </si>
  <si>
    <t>konektor RJ45 cat 5e</t>
  </si>
  <si>
    <t>patch kabel UTP – 05</t>
  </si>
  <si>
    <t>patch kabel UTP – 1</t>
  </si>
  <si>
    <t>kabel UTP 4 x 2 x 0,5 cat 5e</t>
  </si>
  <si>
    <t>kabel SYKFY 3 x 2 x 0,5</t>
  </si>
  <si>
    <t>tlačítko zvonkové, celoplošné</t>
  </si>
  <si>
    <t>krabice inst. KO 68</t>
  </si>
  <si>
    <t>krabice inst. KO 97</t>
  </si>
  <si>
    <t>trubka PVC 25</t>
  </si>
  <si>
    <t>trubka PVC 40</t>
  </si>
  <si>
    <t>lišta PVC 20x20</t>
  </si>
  <si>
    <t>drobný instalační materiál</t>
  </si>
  <si>
    <t>MONTÁŽ :</t>
  </si>
  <si>
    <t>technická příprava</t>
  </si>
  <si>
    <t>M-22</t>
  </si>
  <si>
    <t>vyvázaní a zapojení Patch panelu 24 port</t>
  </si>
  <si>
    <t>ukončení kabelu konektorem RJ45</t>
  </si>
  <si>
    <t>vtažení kabelu sdělovacího  do PVC trubky</t>
  </si>
  <si>
    <t>šítkování zásuvek a Patch panelů</t>
  </si>
  <si>
    <t>certifikační měření</t>
  </si>
  <si>
    <t>osazení krabice inst. KO 68, vč. zasekání</t>
  </si>
  <si>
    <t>osazení krabice inst. KO 97, vč. zasekání</t>
  </si>
  <si>
    <t>trubka PVC 25 pod omítkou, vč. vysekání drážky</t>
  </si>
  <si>
    <t>trubka PVC 40 pod omítkou, vč. vysekání drážky</t>
  </si>
  <si>
    <t>průraz zdivem tl. 15 cm</t>
  </si>
  <si>
    <t>průraz zdivem tl. 30 cm</t>
  </si>
  <si>
    <t>lišta PVC</t>
  </si>
  <si>
    <t>zednická výpomoc</t>
  </si>
  <si>
    <t>rekapitulace nákladů :</t>
  </si>
  <si>
    <t xml:space="preserve">  materiál celkem</t>
  </si>
  <si>
    <t xml:space="preserve">  Kč</t>
  </si>
  <si>
    <t xml:space="preserve">  montáž celkem</t>
  </si>
  <si>
    <t xml:space="preserve">  projekční práce - skutečný stav</t>
  </si>
  <si>
    <t xml:space="preserve">  doprava</t>
  </si>
  <si>
    <t xml:space="preserve">  n á k l a d y  c e l k e m</t>
  </si>
  <si>
    <t xml:space="preserve">  Kč bez DPH</t>
  </si>
  <si>
    <t xml:space="preserve">PIR detektor , dosah 11 m </t>
  </si>
  <si>
    <t>detektor kouře optokouřový</t>
  </si>
  <si>
    <t xml:space="preserve">kabel  SYKFY 5 x 2 x 0,5 </t>
  </si>
  <si>
    <t>kabel SYKFY 2 x 2 x 0,5</t>
  </si>
  <si>
    <t xml:space="preserve">krabice KO 68 </t>
  </si>
  <si>
    <t>kabel sdělovací pod omítkou, vč. vysekání drážky</t>
  </si>
  <si>
    <t>kabel sdělovací volně v podhledu</t>
  </si>
  <si>
    <t>oživení, naprogramování systému EZS</t>
  </si>
  <si>
    <t>Silnoproud</t>
  </si>
  <si>
    <t>Slaboproud</t>
  </si>
  <si>
    <t>Vytápění</t>
  </si>
  <si>
    <t>polička 300 mm</t>
  </si>
  <si>
    <t xml:space="preserve">Skříň pro svodiče bleskového proudu I.stupeň-T1-Jiskřiště, rozměru (šxvxh) 320x600x220mm, IP44/20, 3x160A (poj. 3xZP00), umístěna ve výklenku objektu +0,6m nad terénem (V provedení pro zaplombování dle podmínek ČEZ Distribuce a.s. a normy PNE 33 0000-5).  </t>
  </si>
  <si>
    <t>Přepínač č.7, IP40, bílý-lesk, do krabice</t>
  </si>
  <si>
    <t>Trubka korudovaná 63/52 (HDV, prostup do rozvaděče, stěnu, podlahu)</t>
  </si>
  <si>
    <t>Trubka korudovaná 90/75 (HDV, prostup do rozvaděče, stěnu, podlahu)</t>
  </si>
  <si>
    <t>CYKY-O 2(3)x1,5 (vypínače)</t>
  </si>
  <si>
    <t>H07V (CYA) 35 - (hlavní pospojování)</t>
  </si>
  <si>
    <t>Smontovaná vestavná přípojnice ozn. MET, vč. ukončení vodičů 15ks do 25mm2</t>
  </si>
  <si>
    <t>Přepínač č.7, IP40, do krabice</t>
  </si>
  <si>
    <t>Trubka korudovaná 63/52 (prostup do rozvaděče, přes stěnu, podlahu)</t>
  </si>
  <si>
    <t>Trubka korudovaná 90/75 (prostup do rozvaděče, přes stěnu, podlahu)</t>
  </si>
  <si>
    <t>Hutnění zeminy a štěrku po vrstvách max. 200 mm</t>
  </si>
  <si>
    <t>NAZEV</t>
  </si>
  <si>
    <t xml:space="preserve">OBJEKTU : </t>
  </si>
  <si>
    <t>REG</t>
  </si>
  <si>
    <t>.C.STAVBY</t>
  </si>
  <si>
    <t xml:space="preserve">STAVBY  : </t>
  </si>
  <si>
    <t>ZAK</t>
  </si>
  <si>
    <t>.C.OBJ.</t>
  </si>
  <si>
    <t>CIS.</t>
  </si>
  <si>
    <t>CEN CEN. POLOZKY</t>
  </si>
  <si>
    <t>Z K R A C E N Y  P O P I S</t>
  </si>
  <si>
    <t>M.J.</t>
  </si>
  <si>
    <t>MNOZSTVI</t>
  </si>
  <si>
    <t>JEDNOTK. CENA</t>
  </si>
  <si>
    <t>MONTAZ CENA</t>
  </si>
  <si>
    <t>DODAVKA CENA</t>
  </si>
  <si>
    <t>JEDNOTK. HMOT V T</t>
  </si>
  <si>
    <t>CELKEM HMOT V T</t>
  </si>
  <si>
    <t>SADA</t>
  </si>
  <si>
    <t>M3</t>
  </si>
  <si>
    <t>KUS</t>
  </si>
  <si>
    <t>M2</t>
  </si>
  <si>
    <t>T</t>
  </si>
  <si>
    <t>BEZ DPH</t>
  </si>
  <si>
    <t>VYTÁPĚNÍ</t>
  </si>
  <si>
    <t>: 606 26276</t>
  </si>
  <si>
    <t>CENIK</t>
  </si>
  <si>
    <t>731 800-731 USTRE</t>
  </si>
  <si>
    <t>ÚSTŘEDNÍ VYTAPENI</t>
  </si>
  <si>
    <t xml:space="preserve"> OBOR 733 </t>
  </si>
  <si>
    <t xml:space="preserve"> POTRUBI USTREDNIHO VYTAPENI</t>
  </si>
  <si>
    <t>731 A03 733111275</t>
  </si>
  <si>
    <t>VYPUSTENI OTOPNE VETVE PAVILONU</t>
  </si>
  <si>
    <t>HR</t>
  </si>
  <si>
    <t>731 A03 733111276</t>
  </si>
  <si>
    <t>731 A03 733111277</t>
  </si>
  <si>
    <t>731 A03 733111291</t>
  </si>
  <si>
    <t>OTVORY DN50-PRES STENY</t>
  </si>
  <si>
    <t>PAR</t>
  </si>
  <si>
    <t>731 A03 733111292</t>
  </si>
  <si>
    <t>KG</t>
  </si>
  <si>
    <t>731 A03 733111293</t>
  </si>
  <si>
    <t>731 A03 733111303</t>
  </si>
  <si>
    <t>POTR Cu d15 PAJENE/VAR. LISOVANE</t>
  </si>
  <si>
    <t>731 A03 733111304</t>
  </si>
  <si>
    <t>731 A03 733111305</t>
  </si>
  <si>
    <t>731 A03 733111306</t>
  </si>
  <si>
    <t>731 A03 733111319</t>
  </si>
  <si>
    <t>731 A03 733111323</t>
  </si>
  <si>
    <t>MONT.IZOLACE POTRUBI-SPOJ HACKY</t>
  </si>
  <si>
    <t>731 A03 CENA01</t>
  </si>
  <si>
    <t>731 A03 733123127</t>
  </si>
  <si>
    <t>731 A03 733190908</t>
  </si>
  <si>
    <t>731 A03 998733103</t>
  </si>
  <si>
    <t>POTRUBI PRESUN HMOT VYSKA -6M</t>
  </si>
  <si>
    <t xml:space="preserve">OBOR 733 </t>
  </si>
  <si>
    <t>POTRUBI USTREDNIHO VYTAPENI CELKEM</t>
  </si>
  <si>
    <t xml:space="preserve"> OBOR 734 </t>
  </si>
  <si>
    <t>ARMATURY USTREDNIHO VYTAPENI</t>
  </si>
  <si>
    <t>731 A04 734149114</t>
  </si>
  <si>
    <t>731 A04 734149122</t>
  </si>
  <si>
    <t>TERMOHLAVICE 15-35C</t>
  </si>
  <si>
    <t>731 A04 734181142</t>
  </si>
  <si>
    <t>731 A04 734181143</t>
  </si>
  <si>
    <t>731 A04 998734103</t>
  </si>
  <si>
    <t>ARMATURY PRESUN HMOT VYSKA -6M</t>
  </si>
  <si>
    <t xml:space="preserve">OBOR 734 </t>
  </si>
  <si>
    <t>ARMATURY USTREDNIHO VYTAPENI CELKEM</t>
  </si>
  <si>
    <t xml:space="preserve">OBOR 735 </t>
  </si>
  <si>
    <t>OTOPNÁ TELESA</t>
  </si>
  <si>
    <t>731 C05 735410910</t>
  </si>
  <si>
    <t>MONTAZ KOUPEL.TELESA+1MALBA</t>
  </si>
  <si>
    <t>731 C05 CENA01</t>
  </si>
  <si>
    <t>731 C05 735410912</t>
  </si>
  <si>
    <t>MONTAZ OTOP.TELESA CLANK.+1MALBA (instalovaná budou litinová článková tělesa,z místa stavby nebo skladu investora,který je ve vzdálenosti 5km od místa stavby)</t>
  </si>
  <si>
    <t>731 C05 CENA03</t>
  </si>
  <si>
    <t>731 C05 CENA04</t>
  </si>
  <si>
    <t>731 C05 CENA05</t>
  </si>
  <si>
    <t>731 C05 735410913</t>
  </si>
  <si>
    <t>PRESUN TELES+NALOŽENÍ+VYLOŽENÍ, SKLAD VZDÁLEN 5km</t>
  </si>
  <si>
    <t>731 C05 735410918</t>
  </si>
  <si>
    <t>PROPLACH A NAPUSTENI SOUSTAVY</t>
  </si>
  <si>
    <t>731 C05 735410919</t>
  </si>
  <si>
    <t>TLAKOVA ZKOUSKA OTOPNE SOUSTAVY</t>
  </si>
  <si>
    <t>731 C05 735410920</t>
  </si>
  <si>
    <t>TOPNA ZKOUSKA+VYREGULOV.SOUSTAVY</t>
  </si>
  <si>
    <t>731 A05 998735102</t>
  </si>
  <si>
    <t>TOP TELESO PRESUN HMOT VYSKA-6M</t>
  </si>
  <si>
    <t xml:space="preserve"> OBOR 735 </t>
  </si>
  <si>
    <t>OTOPNÁ TELESA CELKEM</t>
  </si>
  <si>
    <t xml:space="preserve">731 800-731 </t>
  </si>
  <si>
    <t>ÚSTŘEDNÍ  VYTAPENI CELKEM</t>
  </si>
  <si>
    <t>POMOCNÁ STAVEBNÍ VÝROBA CELKEM</t>
  </si>
  <si>
    <t>:</t>
  </si>
  <si>
    <t xml:space="preserve">721 800-721 </t>
  </si>
  <si>
    <t>ZDRAVOTNE TECHNICKE INSTALACE</t>
  </si>
  <si>
    <t>721 A06 726090080</t>
  </si>
  <si>
    <t>721 A06 726090081</t>
  </si>
  <si>
    <t>SESTAVY VZT2</t>
  </si>
  <si>
    <t>721 A06 CENA01</t>
  </si>
  <si>
    <t>721 A06 CENA02</t>
  </si>
  <si>
    <t>POTRUBNI KLAPKA RSK 125</t>
  </si>
  <si>
    <t>721 A06 CENA03</t>
  </si>
  <si>
    <t>721 A06 CENA04</t>
  </si>
  <si>
    <t>721 A06 CENA05</t>
  </si>
  <si>
    <t>721 A06 CENA06</t>
  </si>
  <si>
    <t>721 A06 CENA00</t>
  </si>
  <si>
    <t>721 A06 726090090</t>
  </si>
  <si>
    <t>SESTAVA VZT1</t>
  </si>
  <si>
    <t>721 A06 CENA07</t>
  </si>
  <si>
    <t>721 A06 726090092</t>
  </si>
  <si>
    <t>721 A06 726120000</t>
  </si>
  <si>
    <t>721 A06 726120001</t>
  </si>
  <si>
    <t>721 A06 726120002</t>
  </si>
  <si>
    <t>ELEKTRO NENI SOUCASTI</t>
  </si>
  <si>
    <t>721 A06 726120005</t>
  </si>
  <si>
    <t>721 A06 726120124</t>
  </si>
  <si>
    <t>721 A06 998726101</t>
  </si>
  <si>
    <t>VZDUCHOTECHNIKA PRESUN HMOT -6m</t>
  </si>
  <si>
    <t xml:space="preserve">LNY OBOR 726 </t>
  </si>
  <si>
    <t>VZDUCHOTECHNIKA CELKEM</t>
  </si>
  <si>
    <t>VNITŘNÍ KANALIZACE</t>
  </si>
  <si>
    <t>721 A01 721171008</t>
  </si>
  <si>
    <t>RYHA PRO LEZATOU V OBJEKTU/s-600m</t>
  </si>
  <si>
    <t>721 A01 721171011</t>
  </si>
  <si>
    <t>721 A01 721171012</t>
  </si>
  <si>
    <t>721 A01 721171013</t>
  </si>
  <si>
    <t>721 A01 721171014</t>
  </si>
  <si>
    <t>POTRUBI PVC /KG DN125+TVAROVKY</t>
  </si>
  <si>
    <t>721 A01 721171015</t>
  </si>
  <si>
    <t>721 A01 721171016</t>
  </si>
  <si>
    <t>721 A01 721171107</t>
  </si>
  <si>
    <t>POTR PP  HT ODPADNI D 75X1,8</t>
  </si>
  <si>
    <t>721 A01 721171108</t>
  </si>
  <si>
    <t>POTR PP  HT ODPADNI D 110X2,3</t>
  </si>
  <si>
    <t>721 A01 721171109</t>
  </si>
  <si>
    <t>721 A01 721171114</t>
  </si>
  <si>
    <t>721 A01 721171115</t>
  </si>
  <si>
    <t>721 A01 721173204</t>
  </si>
  <si>
    <t>POTR PP HT PRIPOJOVACI D 40</t>
  </si>
  <si>
    <t>721 A01 721173205</t>
  </si>
  <si>
    <t>POTR PP HT PRIPOJOVACI D 50</t>
  </si>
  <si>
    <t>721 A01 721194104</t>
  </si>
  <si>
    <t>VYVEDENI KANAL VYPUSTEK D 40</t>
  </si>
  <si>
    <t>721 A01 721194105</t>
  </si>
  <si>
    <t>VYVEDENI KANAL VYPUSTEK D 50</t>
  </si>
  <si>
    <t>721 A01 721194109</t>
  </si>
  <si>
    <t>VYVEDENI KANAL VYPUSTEK D 110</t>
  </si>
  <si>
    <t>721 A01 721273218</t>
  </si>
  <si>
    <t>721 A01 721273220</t>
  </si>
  <si>
    <t>721 A01 721273221</t>
  </si>
  <si>
    <t>721 A01 721290112</t>
  </si>
  <si>
    <t>721 A01 721290114</t>
  </si>
  <si>
    <t>TESNICI MATER=PENA PUR 750mm</t>
  </si>
  <si>
    <t>721 A01 998721102</t>
  </si>
  <si>
    <t>KANALIZACE PRESUN HMOT VYSKA-6M</t>
  </si>
  <si>
    <t>VNITŘNÍ VODOVOD</t>
  </si>
  <si>
    <t>721 C02 722173912</t>
  </si>
  <si>
    <t>721 C02 722173918</t>
  </si>
  <si>
    <t>721 A02 722181111</t>
  </si>
  <si>
    <t>721 A02 722190023</t>
  </si>
  <si>
    <t>NASTENKA K 247 PRO VENTIL G 1/2</t>
  </si>
  <si>
    <t>721 A01 722290224</t>
  </si>
  <si>
    <t>721 A02 722290225</t>
  </si>
  <si>
    <t>721 A02 722290226</t>
  </si>
  <si>
    <t>ZKOUSKA TLAK POTRUBI PLAST -DN50</t>
  </si>
  <si>
    <t>721 A02 722290234</t>
  </si>
  <si>
    <t>721 A02 998722102</t>
  </si>
  <si>
    <t>VNITŘNÍ VODOVOD CELKEM</t>
  </si>
  <si>
    <t xml:space="preserve"> OBOR 725</t>
  </si>
  <si>
    <t>ZAŘIZOVACI PREDMETY ZTI</t>
  </si>
  <si>
    <t>721 A05 725119305</t>
  </si>
  <si>
    <t>MTZ ZAVES.KLOZETU+NADRZKY+VYLEVKY</t>
  </si>
  <si>
    <t>721 A05 CENA01</t>
  </si>
  <si>
    <t>721 A05 CENA02</t>
  </si>
  <si>
    <t>721 A05 CENA03</t>
  </si>
  <si>
    <t>721 A05 725829201</t>
  </si>
  <si>
    <t>MTZ BATERII NASTEN+STOJ</t>
  </si>
  <si>
    <t>721 A05 CENA04</t>
  </si>
  <si>
    <t>721 A05 998725101</t>
  </si>
  <si>
    <t>OBOR 725</t>
  </si>
  <si>
    <t>ZDRAVOTNE TECHNICKE INSTALACE CELKEM</t>
  </si>
  <si>
    <t>napájecí panel  6 x 230V</t>
  </si>
  <si>
    <t>Položkový rozpočet je zpracován na podkladě projektové dokumentace pro provedení stavby.
Nedílnou součástí tohoto položkového rozpočtu je projektová dokumentace pro provedení stavby.</t>
  </si>
  <si>
    <t>151101201</t>
  </si>
  <si>
    <t>Zřízení příložného pažení stěn výkopu hl do 4 m</t>
  </si>
  <si>
    <t>151101211</t>
  </si>
  <si>
    <t>Odstranění příložného pažení stěn hl do 4 m</t>
  </si>
  <si>
    <t>Zřízení rozepření stěn při pažení příložném hl do 4 m</t>
  </si>
  <si>
    <t>151101311</t>
  </si>
  <si>
    <t>Odstranění rozepření stěn při pažení příložném hl do 4 m</t>
  </si>
  <si>
    <t>162211319</t>
  </si>
  <si>
    <t>Příplatek k vodorovnému přemístění výkopku z horniny třídy těžitelnosti I skupiny 1 až 3 stavebním kolečkem za každých dalších 10 m</t>
  </si>
  <si>
    <t>162751117</t>
  </si>
  <si>
    <t>Vodorovné přemístění do 10km výkopku/sypaniny z horniny třídy těžitelnosti I skupiny 1 až 3 se složením</t>
  </si>
  <si>
    <t>Příplatek k vodorovnému přemístění výkopku/sypaniny z horniny třídy těžitelnosti I skupiny 1 až 3 ZKD 1km přes 10km</t>
  </si>
  <si>
    <t>171111111</t>
  </si>
  <si>
    <t>Hutnění zeminy pro spodní stavbu tl do 20 cm</t>
  </si>
  <si>
    <t>171201221</t>
  </si>
  <si>
    <t>Poplatek za uložení na skládce (skládkovné) zeminy a kamení kód odpadu 17 05 04</t>
  </si>
  <si>
    <t>Lešení pomocné pro objekty pozemních staveb s lešeňovou podlahou v do 1,9 m zatížení do 150 kg/m2</t>
  </si>
  <si>
    <t xml:space="preserve">" Pomocné lešení pro provedení provádění vnitřních konstrukcí a úprav povrchů " </t>
  </si>
  <si>
    <t>764009R</t>
  </si>
  <si>
    <t>Demontáž klempířškých prvků nespecifikovaných</t>
  </si>
  <si>
    <t>" V ceně položky očištění podkladu před provedením systémové skladby. Včetně veškerých systémových a kotvících prvků a příslušenství (rohové, zakládací, ukončovací profily, atp.). Včetně provedení ostění. " 4*(13,5+17,2+13,6+7,6+15,2)-9*2,1-1,5*2,1-4,1*2,1-10,8*2,1-9,6*0,8</t>
  </si>
  <si>
    <t xml:space="preserve">" Zhutnění zeminy pro provedení základových konstrukcí a zpevněných ploch " </t>
  </si>
  <si>
    <t>Odvoz suti a vybouraných hmot na skládku nebo meziskládku do 1 km se složením</t>
  </si>
  <si>
    <t>MŠ EDVARDA BENEŠE - REKONSTRUKCE - ROZŠÍŘENÍ KAPACITY</t>
  </si>
  <si>
    <t>Datum: 11/2022</t>
  </si>
  <si>
    <t>Stavba:   MŠ EDVARDA BENEŠE - REKONSTRUKCE - ROZŠÍŘENÍ KAPACITY</t>
  </si>
  <si>
    <r>
      <t xml:space="preserve">NÁZEV AKCE : </t>
    </r>
    <r>
      <rPr>
        <b/>
        <sz val="10"/>
        <rFont val="Arial"/>
        <family val="2"/>
        <charset val="238"/>
      </rPr>
      <t xml:space="preserve"> MŠ E, Beneše</t>
    </r>
    <r>
      <rPr>
        <sz val="10"/>
        <rFont val="Arial"/>
        <family val="2"/>
        <charset val="238"/>
      </rPr>
      <t xml:space="preserve">  - Rekonstrukce 1NP. - GASTRO VÝPIS ZAŘÍZENÍ </t>
    </r>
  </si>
  <si>
    <t xml:space="preserve">Příkon </t>
  </si>
  <si>
    <t>Příkon</t>
  </si>
  <si>
    <t xml:space="preserve">  Cena </t>
  </si>
  <si>
    <t xml:space="preserve">Pozice </t>
  </si>
  <si>
    <t xml:space="preserve">Zařízení </t>
  </si>
  <si>
    <t xml:space="preserve">Model </t>
  </si>
  <si>
    <t xml:space="preserve">Rozměr </t>
  </si>
  <si>
    <t>Napětí</t>
  </si>
  <si>
    <t>Elektro</t>
  </si>
  <si>
    <t xml:space="preserve">plyn </t>
  </si>
  <si>
    <t>Ks</t>
  </si>
  <si>
    <t xml:space="preserve">Cena ks </t>
  </si>
  <si>
    <t xml:space="preserve">bez DPH </t>
  </si>
  <si>
    <t>Výdejna starvy 1 NP. :</t>
  </si>
  <si>
    <t xml:space="preserve">Servírovací pojízdný vozík ECO </t>
  </si>
  <si>
    <t>850x550x940</t>
  </si>
  <si>
    <t>2x police , 2x kolečko s brzdou</t>
  </si>
  <si>
    <t xml:space="preserve">montované provedení </t>
  </si>
  <si>
    <t xml:space="preserve">Pojízdná ohřívací vana </t>
  </si>
  <si>
    <t>kapacita 2x GN 1/1-200</t>
  </si>
  <si>
    <t>GN 1/2-200 s uchy + víko s vyřezem na naběračku a uši</t>
  </si>
  <si>
    <t xml:space="preserve">Profi podstolová lednice - nerez </t>
  </si>
  <si>
    <t>600x600x850</t>
  </si>
  <si>
    <t xml:space="preserve">130 litrů , ventilovaná </t>
  </si>
  <si>
    <t xml:space="preserve">Nerezový stůl s policí a prostorem pro </t>
  </si>
  <si>
    <t>1500x700x900</t>
  </si>
  <si>
    <t xml:space="preserve">lednici na levé straně , zadní a pravý lem </t>
  </si>
  <si>
    <t>Nástěnná skříňka , posuvná dvířka , poice</t>
  </si>
  <si>
    <t>1400x400x600</t>
  </si>
  <si>
    <t xml:space="preserve">Nerezový stůl s dřezem </t>
  </si>
  <si>
    <t>1750x700x900</t>
  </si>
  <si>
    <t>dřez 400x500 mm v pravo + otvor pro baterii</t>
  </si>
  <si>
    <t xml:space="preserve">zadní a levý lem </t>
  </si>
  <si>
    <t xml:space="preserve">na levo od dřezu prostor pro myčku 620 mm </t>
  </si>
  <si>
    <t xml:space="preserve">horní deska prolis </t>
  </si>
  <si>
    <t xml:space="preserve">na pravé straně šuplík </t>
  </si>
  <si>
    <t>6a.</t>
  </si>
  <si>
    <t xml:space="preserve">Tlaková předmývací sprcha za stolu s napouštěcím ramenkem </t>
  </si>
  <si>
    <t>Podstolová myčka s odpadovým čerpadlem</t>
  </si>
  <si>
    <t>dávkovače detergentů , koš velikosti 500x500 mm</t>
  </si>
  <si>
    <t xml:space="preserve">čelní zakládání , 3 mycí programy </t>
  </si>
  <si>
    <t>Mycí prostředek   12 kg</t>
  </si>
  <si>
    <t xml:space="preserve">Opachový prostředek 10 kg </t>
  </si>
  <si>
    <t xml:space="preserve">Kombinovaná dřez s umyvadlem </t>
  </si>
  <si>
    <t>500x700x900</t>
  </si>
  <si>
    <t>8a.</t>
  </si>
  <si>
    <t xml:space="preserve">Páková baterie </t>
  </si>
  <si>
    <t>8b.</t>
  </si>
  <si>
    <t xml:space="preserve">Dávkovač mýdla </t>
  </si>
  <si>
    <t>8c.</t>
  </si>
  <si>
    <t xml:space="preserve">Zásobník na ubrousky </t>
  </si>
  <si>
    <t xml:space="preserve">Gastro zařízení celkem </t>
  </si>
  <si>
    <t xml:space="preserve">Montáž </t>
  </si>
  <si>
    <t xml:space="preserve">Doprava </t>
  </si>
  <si>
    <t xml:space="preserve">Zaškolení </t>
  </si>
  <si>
    <t xml:space="preserve">Zakázka celkem </t>
  </si>
  <si>
    <t>Pojistka nožová PHN0 - 125A gG do stávající HDS</t>
  </si>
  <si>
    <t>Smontovaný vestavný hlavní rozvaděč objektu, ozn. RA1, typ OCEP, rozměr (šxvxh) 600x1600x160mm, EI30 DP1-S krytí IP40/20, (231 mod.), In=63A, parapet +0,4m, viz. výkres</t>
  </si>
  <si>
    <t>Zásuvka do vlhka 16A/230V, fy ABB, typ Levit, bílá/bílá, do krabice, IP44</t>
  </si>
  <si>
    <t>Vačkový spínač ve skříňce na zámek 16A/400V, IP65, polozapuštěný</t>
  </si>
  <si>
    <t>Lišta vkládací 20x20mm (technická místnost, opravy)</t>
  </si>
  <si>
    <t>Lišta vkládací 40x40mm (technická místnost, opravy)</t>
  </si>
  <si>
    <t>A - Přisazené LED svítidlo 52,8W/6400lm, 4000K, Ra&gt;80, IP20, těleso bílé ocelové, difuzor texturovaný opálový akrylát</t>
  </si>
  <si>
    <t>A1 - Přisazené LED svítidlo 35,6W/4650lm, 4000K, Ra&gt;80, IP20, těleso bílé ocelové, difuzor texturovaný opálový akrylát</t>
  </si>
  <si>
    <t>B - Přisazené LED svítidlo 16,3W/1950lm, 4000K, Ra&gt;80, IP65, těleso bílý polykarbonát, difuzor opálový polykarbonát</t>
  </si>
  <si>
    <t>C - Přisazené LED svítidlo 35,3W/4250lm, 4000K, Ra&gt;80, IP44, těleso bílé ocelové, difuzor matný akrylát</t>
  </si>
  <si>
    <t>D - Přisazené LED svítidlo 62,6W/8060lm, 4000K, Ra&gt;80, IP66, těleso světlešedý polykarbonát, difuzor opálový polykarbonát</t>
  </si>
  <si>
    <t>E - Vestavné LED svítidlo 33,6W/4100lm + rámeček pro přisazenou montáž, 4000K, Ra&gt;80, IP54/20, IK06, těleso bílé ocelové, difuzor mikro prizma</t>
  </si>
  <si>
    <t>E1 - Vestavné LED svítidlo 39,2W/4800lm + rámeček pro přisazenou montáž, 4000K, Ra&gt;80, IP54/20, IK06, těleso bílé ocelové, difuzor mikro prizma</t>
  </si>
  <si>
    <t>F - Nástěnné LED svítidlo 15,4W/1844lm, 4000K, Ra&gt;80, IP65, těleso antracitový polykarbonát</t>
  </si>
  <si>
    <t>N1 - Nouzové přisazené LED svítidlo 3W/94lm, IP65, s piktogramem, 1-hodinový modul, těleso a kryt bílý a difuzor čirý polykarbonát</t>
  </si>
  <si>
    <t>N2 - Nouzové závěsné LED svítidlo 4,6W/60lm, IP30, s piktogramem - svíticí deska, 3-hodinovým nouzovým modulem</t>
  </si>
  <si>
    <t>N3 - Nouzové přisazené LED svítidlo 4W/130lm, IP40, bez piktogramu, optika - prostorová, 3-hodinový modul</t>
  </si>
  <si>
    <t>N4 - Nouzové přisazené LED svítidlo 3W/94lm, IP65, bez piktogramu, 1-hodinový modul, těleso a kryt bílý a difuzor čirý polykarbonát</t>
  </si>
  <si>
    <t>N5 - Nouzové stropní/nástěnné LED svítidlo do mrazu 5W/213lm, IP65, bez piktogramu - svíticí deska, optika - úniková cesta, 1-hodinovým nouz. Modulem</t>
  </si>
  <si>
    <t>CYKY-J  5x16</t>
  </si>
  <si>
    <t>1-CYKY-J  4x70</t>
  </si>
  <si>
    <t>H07RN-F 3x2,5</t>
  </si>
  <si>
    <t>Pojistka nožová PHN00 - 125A gG do HDS</t>
  </si>
  <si>
    <t>Osazení a zapojení vestavného rozvaděče ozn.RSP,  vč. ukončení vodičů 2ks do 25mm2 + 8ks do 70mm2</t>
  </si>
  <si>
    <t>Osazení a zapojení vestavného rozvaděče ozn.RA1, vč. ukončení vodičů cca 80ks do 6mm2 + 6ks do 35mm2</t>
  </si>
  <si>
    <t>Spínač č.1 do vlhka, IP54, polozapuštěný</t>
  </si>
  <si>
    <t>Zásuvka do vlhka, 16A/230, IP44, do krabice</t>
  </si>
  <si>
    <t>Vačkový spínač 16A/400V ve skříňce IP65</t>
  </si>
  <si>
    <t>Vyplnění a omítnutí rýh ve stěnách hloubky do 3 cm a šířky do 3 cm</t>
  </si>
  <si>
    <t>Vyplnění a omítnutí rýh ve stěnách hloubky do 3 cm a šířky přes 3 do 5 cm</t>
  </si>
  <si>
    <t>Vyplnění a omítnutí rýh ve stěnách hloubky přes 3 do 5 cm a šířky přes 5 do 7 cm</t>
  </si>
  <si>
    <t>Vyplnění a omítnutí rýh ve stěnách hloubky přes 3 do 5 cm a šířky přes 10 do 15 cm</t>
  </si>
  <si>
    <t>Vysekání (vyřezání) otvoru 1,0m2, do tl.300mm, cihla malt. cem. (ozn. RA1)</t>
  </si>
  <si>
    <t>Kabelová rýha 35x80cm tř.4 (m) včetně rozebrání dlážděného chodníku</t>
  </si>
  <si>
    <t>Zához kabelové rýhy 35x80cm tř.4 (m) včetně zpětné pokládky povrchu dlážděného chodníku</t>
  </si>
  <si>
    <t>basový absorbér, technická izolace zabalená v perforované PE folii, 1200x600x40mm</t>
  </si>
  <si>
    <t>nosný rastr T24 bílý, 600x600mm, včetně obvodových lišt a přímých závěsů l=100mm</t>
  </si>
  <si>
    <t>montáž podhledu do 3,5m</t>
  </si>
  <si>
    <t>montáž obkladu, včetně lepidla</t>
  </si>
  <si>
    <t>VNITŘNÍ ZDRAVOINSTALACE(KANAL+VODA)</t>
  </si>
  <si>
    <t>: EDBEN-ZT</t>
  </si>
  <si>
    <t>ŠKOLKA ED. BENESE OPAVA</t>
  </si>
  <si>
    <t>JEDNOTK. HMOT v T</t>
  </si>
  <si>
    <t>CELKEM HMOT v T</t>
  </si>
  <si>
    <t>REMES</t>
  </si>
  <si>
    <t xml:space="preserve">LNY OBOR 721 </t>
  </si>
  <si>
    <t>721 A01 721171001</t>
  </si>
  <si>
    <t>DEMONT POTRUBI KANALIZACE d50/75/100 PE/LITINA</t>
  </si>
  <si>
    <t>721 A01 721171002</t>
  </si>
  <si>
    <t>DEMONT ZAŘIZOVACÍCH PREDEMETŮ</t>
  </si>
  <si>
    <t>721 A01 721171003</t>
  </si>
  <si>
    <t>ULOZENI DEMONTOVANÝCH PRVKŮ NA SKLADKU STAVBY-50m</t>
  </si>
  <si>
    <t>PROREZ BETON. PODLAHY  TL.100mm</t>
  </si>
  <si>
    <t>721 A01 721171009</t>
  </si>
  <si>
    <t>DEMONT BETONOVÉ PODLAHY</t>
  </si>
  <si>
    <t>PISKOV.LOZE PRO KANAL 0.6*0.3*4</t>
  </si>
  <si>
    <t>HUTNENY ZASYP VYKOPKEM</t>
  </si>
  <si>
    <t>POTRUBI PVC /KG DN 70+TVAROVKY</t>
  </si>
  <si>
    <t>DOPOJENÍ  NA STAV. POTRUBI LEŽATÉ KANANALIZACE POTR. PVC+LT</t>
  </si>
  <si>
    <t>721 A01 721171017</t>
  </si>
  <si>
    <t>DOPOJE NA STAV. POTRUBI STUPACKY HT+LT</t>
  </si>
  <si>
    <t>721 A01 721171018</t>
  </si>
  <si>
    <t>DOPOJE NA STAV. POTRUBI 2.NP HT+LITINA</t>
  </si>
  <si>
    <t>721 A01 721171020</t>
  </si>
  <si>
    <t>ODVOZ VYTL.ZEMINY SKLADKA STAVBY DO 50m</t>
  </si>
  <si>
    <t>POTR HT /KG DESTOVE D 125</t>
  </si>
  <si>
    <t>DRAZKY PRO VNITRNI KANALIZACI DO 100cm2</t>
  </si>
  <si>
    <t>OTVORY do 170cm2 PRO KANAL</t>
  </si>
  <si>
    <t>721 A01 721223413</t>
  </si>
  <si>
    <t>PODL.VPUST d 40+NEREZ MRIZKA</t>
  </si>
  <si>
    <t>721 A01 721223414</t>
  </si>
  <si>
    <t>STENOVY ODPAD. VENTIL d40/VZT, TUV, PRAČKA, MYČKA</t>
  </si>
  <si>
    <t>721 SPC 721273202</t>
  </si>
  <si>
    <t>KOTVICI MAT. PRO KANALIZACI POZINKOVANÝ</t>
  </si>
  <si>
    <t>721 A01 721273217</t>
  </si>
  <si>
    <t>OV KANAL.HLAVICE 110+MRIZ 150*150</t>
  </si>
  <si>
    <t>CIS.KUS d110+DVIRKA 150*150</t>
  </si>
  <si>
    <t>DOPOJENI TECHNOLOGIE VYDEJE STRAVY M.Č.114</t>
  </si>
  <si>
    <t>ZATKY POTRUBI PP 110/75</t>
  </si>
  <si>
    <t>721 A01 721273223</t>
  </si>
  <si>
    <t>POMOCNE LESENI PRO INSTALACI ZTI</t>
  </si>
  <si>
    <t>ZKOUSKA TES KANAL VODA+KOUR-DN150</t>
  </si>
  <si>
    <t xml:space="preserve">OBOR 721 </t>
  </si>
  <si>
    <t>VNITŘNI KANALIZACE CELKEM</t>
  </si>
  <si>
    <t xml:space="preserve">OBOR 722 </t>
  </si>
  <si>
    <t>POTR PLASTOVE PN20 d20 SPOJE SVAR</t>
  </si>
  <si>
    <t>721 C02 722173913</t>
  </si>
  <si>
    <t>POTR PLASTOVE PN20 d25 SPOJE SVAR</t>
  </si>
  <si>
    <t>721 C02 722173914</t>
  </si>
  <si>
    <t>POTR PLASTOVE PN20 d32 SPOJE SVAR</t>
  </si>
  <si>
    <t>DOPOJ NA STÁVAJÍCÍ ROZVOD  VODY +UK s VK D32</t>
  </si>
  <si>
    <t>721 C02 722173919</t>
  </si>
  <si>
    <t>KOTVICI+ZAVES.OBJIMKY s PRYZI</t>
  </si>
  <si>
    <t>POTRUBNI IZOLACE TL.9-15mm/d20-32</t>
  </si>
  <si>
    <t>721 A02 722190224</t>
  </si>
  <si>
    <t>ventil sten.1/2"/PRO ZAHRADU</t>
  </si>
  <si>
    <t>721 A02 722239112</t>
  </si>
  <si>
    <t>UK 20 s VK PLAST</t>
  </si>
  <si>
    <t>721 A02 722239113</t>
  </si>
  <si>
    <t>UK 25 s VK PLAST</t>
  </si>
  <si>
    <t>721 A02 722239114</t>
  </si>
  <si>
    <t>R.V.1/2 S E ZPET. KLAPKOU/ MYČKA,PRAČKA</t>
  </si>
  <si>
    <t>721 A02 722239120</t>
  </si>
  <si>
    <t>POJIST.SOUPRAVA DN 15 PRO TUV (UK+Z.V.P.V, TL.)</t>
  </si>
  <si>
    <t>STAVEB.POMOC-DRAZKY/STENA/PODLAHA DO 70cm2</t>
  </si>
  <si>
    <t>PROPLACH A DEZINFEKCE -DN 80</t>
  </si>
  <si>
    <t>721 A02 722290240</t>
  </si>
  <si>
    <t>ORIENT.STITKY VODOINSTALACE OBJEK</t>
  </si>
  <si>
    <t>VODOVOD PRESUN HMOT VYSKA -6M</t>
  </si>
  <si>
    <t>OBOR 722</t>
  </si>
  <si>
    <t>NADRZKA ZAVES+RAM+OVLAD.TLACITKO</t>
  </si>
  <si>
    <t>ZAVES.WC BILE/HL.500mm+SEDATKO</t>
  </si>
  <si>
    <t>ZAVES.WC BILE/DETSKE+SEDATKO</t>
  </si>
  <si>
    <t>VYLEVKA ZAVES.ZADNI odp+PLAST.MRIŽ</t>
  </si>
  <si>
    <t>721 A05 CENA05</t>
  </si>
  <si>
    <t xml:space="preserve">MEZISTENA  PRO DĚTSKÁ WC </t>
  </si>
  <si>
    <t>721 A05 725119350</t>
  </si>
  <si>
    <t>OHRIVAC TUV 100L</t>
  </si>
  <si>
    <t>721 A05 725119353</t>
  </si>
  <si>
    <t>SMES. VENTIL PRO TUV-VÝSTUP 35c+3*UK20</t>
  </si>
  <si>
    <t>721 A05 725219402</t>
  </si>
  <si>
    <t>MONTAZ UMYVADEL NA KONZOLY/DESKY</t>
  </si>
  <si>
    <t>UMr  BILE 400*400+PLAST.ODPAD40</t>
  </si>
  <si>
    <t>UM1 BILE 500*410+PLASTOV ODPAD d40</t>
  </si>
  <si>
    <t>721 A05 725319110</t>
  </si>
  <si>
    <t>SPRCH.KOUT 900*900 SAMONOSNÝ s PE NOSIČEM VANIČKY/CTVRT+ZASTENA 4mm bezpečnostní sklo MATT,BÍLÉ LIŠTY</t>
  </si>
  <si>
    <t>UM=STOJ.BA.PAK.OTOC.170mm+2*RV1/2</t>
  </si>
  <si>
    <t>VY=STENOVA PAK.+SPRCHA+DRZAK/KOV</t>
  </si>
  <si>
    <t>SP=NASTENA+PEV.RAMENO+RUZICE d80</t>
  </si>
  <si>
    <t>721 A05 725829209</t>
  </si>
  <si>
    <t>MTZ VENTILU NASTENNÝ</t>
  </si>
  <si>
    <t>VENTIL STENOVY PAKOVY 1/2"</t>
  </si>
  <si>
    <t>721 A05 725829212</t>
  </si>
  <si>
    <t>KOORDINACE PRI INSTALACI VYDEJE STRAVY  M.Č.114</t>
  </si>
  <si>
    <t>ZARIZ PREDMETY PRESUN HMOT V-6M</t>
  </si>
  <si>
    <t>ZAŘIZOVACI PREDMETY ZTI CELKEM</t>
  </si>
  <si>
    <t>VZDUCHOTECHNIKA</t>
  </si>
  <si>
    <t>: EDBEN-VZ</t>
  </si>
  <si>
    <t>STAVBY  :</t>
  </si>
  <si>
    <t>ŠKOLKA ED. BENEŠE OPAVA</t>
  </si>
  <si>
    <t>721 A06 726090075</t>
  </si>
  <si>
    <t>DEMONTAZ POTRUBI VZT DO 0.5m2+ULOŽENÍ NA SKLÁDCE STAVBY DO 50m</t>
  </si>
  <si>
    <t>721 A06 726090076</t>
  </si>
  <si>
    <t>DEMONTAZ POTRUBI VZT DO 1.0m2+ULOŽENÍ NA SKLÁDCE STAVBY DO 50m</t>
  </si>
  <si>
    <t>721 A06 726090077</t>
  </si>
  <si>
    <t>DEMONT. VZT STROJ+DIGEST/50kg+ULOŽENÍ NA SKLÁDCE STAVBY DO 50m</t>
  </si>
  <si>
    <t>MONTAZ VZDUCHOTECHNIKY</t>
  </si>
  <si>
    <t>RADIÁLNÍ VENTILÁTOR d125mm, (230V, 80W, 145/280m3/h),</t>
  </si>
  <si>
    <t>721 A06 CENA01A</t>
  </si>
  <si>
    <t>POTRUBNI TLUMIČ d125/0.6m</t>
  </si>
  <si>
    <t>FASADNI KLAPKA PRO d125mm SE SKLOPNÝMI LISTY</t>
  </si>
  <si>
    <t>POTRUBI  KOVOVÉ KRUHOVÉ  D125+TVAROVKY</t>
  </si>
  <si>
    <t>ODTAH. VENTIL d125+RAMECEK BILY</t>
  </si>
  <si>
    <t>POTRUBI PRUŽNÉ  Al IZOL d125/25mm</t>
  </si>
  <si>
    <t>721 A06 726090083</t>
  </si>
  <si>
    <t>SESTAVA VZT3+4</t>
  </si>
  <si>
    <t>RADIÁLNÍ VENTILÁTOR d150/160,(230V, 80W, 280/560m3/h),</t>
  </si>
  <si>
    <t>POTRUBNI TLIMIC d160/0.6m</t>
  </si>
  <si>
    <t>POTRUBNI KLAPKA RSK 160</t>
  </si>
  <si>
    <t>FASADNI KLAPKA PRO d150/160  SE SKLOPNÝMI LISTY</t>
  </si>
  <si>
    <t>POTRUBI KOVOVÉ KRUHOVÉ  d150/160+TVAROVKY</t>
  </si>
  <si>
    <t>ODTAH. VENTIL 125+RAMECEK BILY</t>
  </si>
  <si>
    <t>POTR  PRUŽNÉ Al .IZOL d125/25mm</t>
  </si>
  <si>
    <t>721 A06 CENA08</t>
  </si>
  <si>
    <t>ODTAHOVÁ DIGESTOŘ S RADIÁLNÍM VENTILÁTOREM,(230V,180W,370m3/h),+ ZÁKRYT 600*1500mm+ZPĚTNÁ KLAPKA d160</t>
  </si>
  <si>
    <t>ODTAH/PRIVOD VENTIL D150+RAMECEK</t>
  </si>
  <si>
    <t>POTR  PRUŽNÉ Al .IZOL d150/25mm/0,25m-DOPOJENÍ VENTILŮ PŘÍVODNÍCH/ODVODNÍCH DO PODHLEDU</t>
  </si>
  <si>
    <t>POTR.KOVOVÉ KRUHOVÉ. d200+TVAROVKY</t>
  </si>
  <si>
    <t>POTR.PRUZNE s IZOLACÍ Al 200/25mm</t>
  </si>
  <si>
    <t>POTRUBNI TLUMIC D200/1.0m</t>
  </si>
  <si>
    <t>POTRUBNI TLUMIC D200/0.6m</t>
  </si>
  <si>
    <t>FASADNI ELEKTROKLAPKA UZAVÍRACÍ d200</t>
  </si>
  <si>
    <t>JEDNOTKA VZT REKUPERAČNÍ JEDNOTKA (výkon při 0 Pa 650m3/hod)  vestavěný elektroohřívač 1,67kW,ventilátory 2*170W,230V přívodní filtr ePM1 60%,odvodní filtr ePM10 50%,rotační  rekuperátor</t>
  </si>
  <si>
    <t>MODUL RELE 1*RELE 24/230V</t>
  </si>
  <si>
    <t>721 A06 CENA09</t>
  </si>
  <si>
    <t>721 A06 CENA10</t>
  </si>
  <si>
    <t>PROPOJ KABEL CIDLO /JEDNOTKA VZT</t>
  </si>
  <si>
    <t>MOBIL. LESENI PRO VZT / do v.1.5m</t>
  </si>
  <si>
    <t>SPOJOVACI A MONTAZNI PRVKY VZT</t>
  </si>
  <si>
    <t>MATERIAL KOTVICI,ZAVESY POTRUBI</t>
  </si>
  <si>
    <t>POTRUBI TL.30MM</t>
  </si>
  <si>
    <t>721 A06 726120122</t>
  </si>
  <si>
    <t>STAVEBNI VYPOMOC OTVORY+TESNENI</t>
  </si>
  <si>
    <t>SERIZENI,SPUSTENI,ZASKOLENI VZT</t>
  </si>
  <si>
    <t xml:space="preserve"> OBOR 726 </t>
  </si>
  <si>
    <t>EDBEN-UT</t>
  </si>
  <si>
    <t>ŠKOLKA ED.BENEŠE OPAVA</t>
  </si>
  <si>
    <t>ODSTAVENI TOPNE VETVE V KOORDINACI S PROVOZOVATELEM ZDROJE</t>
  </si>
  <si>
    <t>DEMONT. TOPNE VETVE+PLYNOINSTALACE-POTRUBI OCEL DN32-60=80m+TELES LT.ČLÁNKOVÝCH HMOTNOST DO 150kg-12ks  S ULOŽENÍM NA SKLÁDCE STAVBY DO 50m,DLE POŽADAVKŮ INVESTORA</t>
  </si>
  <si>
    <t>POMOCNE KC POZIN.-VEDENI POTR POD STROPEM</t>
  </si>
  <si>
    <t>ODSTAVENÍ PLYNOINSTALACE, ODVZDUŠNĚNÍ,ZÁTKA PLYNOINSTALACE</t>
  </si>
  <si>
    <t>NAPOJENÍ  PŘÍPOJKY PRO Č.114+115+118</t>
  </si>
  <si>
    <t>PÁR</t>
  </si>
  <si>
    <t>KOREKCE PŘÍPOJEK PRO OTOPNÁ TĚLESA</t>
  </si>
  <si>
    <t>ZRUŠENÍ PŘÍPOJKY PRO TĚLESO M.Č.104</t>
  </si>
  <si>
    <t>NAPOJENÍ PŘÍPOJKY NA STÁVAJÍCÍ UK M.Č.105</t>
  </si>
  <si>
    <t>IZOLACE NAVLEKOVA 15/9  -LAMBDA IZOLACE 0,036 / PŘÍPOJKY PRO KLC  M.Ř.114+116+118</t>
  </si>
  <si>
    <t>PRIPOJ POTR Cu d15 PRO TELESA KLC 114+116+118</t>
  </si>
  <si>
    <t>TLAK ZKOUSKA POTRUBI do DN 50 V DOTČENÉM PAVILONU</t>
  </si>
  <si>
    <t>MONT+DOD RV+RS ½ (ROHOVÝ REGULAČNÍ VENTIL, ROHOVÝ REGULAČNÍ ŠROUBENÍ S VYPOUŠTĚNÍM) PRO TĚLESA KLC</t>
  </si>
  <si>
    <t>MONT+DOD PV+PS ½ (PŘÍMÝ REGULAČNÍ VENTIL, PŘÍMÉ REGULAČNÍ ŠROUBENÍ S VYPOUŠTĚNÍM) PRO TĚLESA ZE SKLADU</t>
  </si>
  <si>
    <t>VYP.KOHOUT ½</t>
  </si>
  <si>
    <t>KOUPEL.TELESA OCEL BILA 500*700MM</t>
  </si>
  <si>
    <t>CLANKOVE KALOR 15/600/160 (SESTAVENÍ ZE TŘÍ ČÁSTI,PŘETĚSNĚNÍ,ZÁTKY 4KS,OV VENTILEK,VYPLÁCHNUTÍ,TLAKOVÁ ZKOUŠKA,NÁSTŘIK TĚLES 2*BÍLOU BARVOU</t>
  </si>
  <si>
    <t>CLANKOVE KALOR 5/600/160 (SESTAVENÍ ZE DVOU ČÁSTI,PŘETĚSNĚNÍ,ZÁTKY 4KS,OV VENTILEK,VYPLÁCHNUTÍ,TLAKOVÁ ZKOUŠKA,NÁSTŘIK TĚLES 2*BÍLOU BARVOU</t>
  </si>
  <si>
    <t>CLANKOVE KALOR   STÁVAJÍCÍ M.Č.106 -REINSTALACE-PROPLACH,TLAKOVÁ ZKOUŠKA,NÁSTŘIK TĚLES 2*BÍLOU BARVOU</t>
  </si>
  <si>
    <t>příloha č.2</t>
  </si>
  <si>
    <t xml:space="preserve">MŠ Edvarda Beneše  - rekonstrukce - rozšíření kapacity </t>
  </si>
  <si>
    <t>Edvarda Beneše 6, 747 05  Opava 5 - Kateřinky</t>
  </si>
  <si>
    <t>Elektrická Zabezpečovací Signalizace</t>
  </si>
  <si>
    <t xml:space="preserve">PIR detektor, dosah 11 m </t>
  </si>
  <si>
    <t>siréna vnitřní, nezálohovaná 110dB/m</t>
  </si>
  <si>
    <t>lišta PVC 17 x 17</t>
  </si>
  <si>
    <t>Strukturovaná Kabeláž</t>
  </si>
  <si>
    <t>rozvaděč datový, nástěnný, 600 x 400 mm / 15U</t>
  </si>
  <si>
    <t>UAP přístupový bod wifi 6,   5/ 2,4 GHz,  4 x 4 MIMO
2400 Mbps (5 GHz),  600 Mbps (2,4 GHz)</t>
  </si>
  <si>
    <t>switch, 24 portů, 10/100/1000Mbps, RJ45, desktop,
montáž do Rack 19", přepínací kapacita 48 Gbit/s</t>
  </si>
  <si>
    <t>lišta PVC 40x40</t>
  </si>
  <si>
    <t>Telefonní ústředna, dveřník, vchody</t>
  </si>
  <si>
    <t>modul 2 analogových linek</t>
  </si>
  <si>
    <t>tlf. přístoj, nástěnná montáž</t>
  </si>
  <si>
    <t>zásuvka telefonní 1 x RJ 11</t>
  </si>
  <si>
    <t>elmag. zámek nízkoodběrový, inverzní, 12V</t>
  </si>
  <si>
    <t>napájecí zdroj zálohovaný 13,8V / 1,5A, kovový kryt</t>
  </si>
  <si>
    <t>akumulátor 12V / 7 Ah</t>
  </si>
  <si>
    <t>akustický bzučák 12V - signalizace otevření dveří</t>
  </si>
  <si>
    <t>Kamerový systém</t>
  </si>
  <si>
    <t>monitor 9", nástěnná montáž, 12V</t>
  </si>
  <si>
    <t>napáječ 12V / 2A</t>
  </si>
  <si>
    <t>převodník KOAX / UTP pasivní</t>
  </si>
  <si>
    <t>kabel UTP 4x2x0,5</t>
  </si>
  <si>
    <t>krabice inst. KO 100</t>
  </si>
  <si>
    <t>Interaktivní tabule</t>
  </si>
  <si>
    <t>subdodávka  s montáží a oživením:
interaktivní tabule: 164 x 110 cm, úhlopříčka 78", poměr             stran 4 : 3
projektor: rozlišení 1600 x 1200 / 60 Hz, jas 3300 lm, reproduktory 2 x 10W, dálkové ovládaní
zvedací mechanismus
kabelová sada
výukový program pro MŠ</t>
  </si>
  <si>
    <t>demontáž části EZS v místn. č.1.15, přeprogramování</t>
  </si>
  <si>
    <t>klávesnice LED  - osazení, zapojení</t>
  </si>
  <si>
    <t>siréna vnitřní, nezálohovaná 105dB/m</t>
  </si>
  <si>
    <t>zapojení expandéru - 6 vstupů</t>
  </si>
  <si>
    <t>datový rozvaděč 15U - kompletace, osazení</t>
  </si>
  <si>
    <t>kabel sdělovací - volně položený v podhledu</t>
  </si>
  <si>
    <t xml:space="preserve">přepojení stávající kabeláže v ředitelně do nového datového
rozvaděče, zprovoznění </t>
  </si>
  <si>
    <t>telefonní ústředna - rozšíření kapacity poboček,
 naprogramování</t>
  </si>
  <si>
    <t>tlf přístroj - montáž na zeď</t>
  </si>
  <si>
    <t>zásuvka tlf. 1 x RJ 11</t>
  </si>
  <si>
    <t xml:space="preserve">elmag. zámek - osazení </t>
  </si>
  <si>
    <t>napájecí zdroj zálohovaný</t>
  </si>
  <si>
    <t>akustická signalizace do dveřníku</t>
  </si>
  <si>
    <t>přeprogramování dveřníku</t>
  </si>
  <si>
    <t>demontáž kabeláže v místn. č. 1.15</t>
  </si>
  <si>
    <t>kabel sdělovací v PVC liště</t>
  </si>
  <si>
    <t>monitor - osazení, připojení, napájecí zdroj</t>
  </si>
  <si>
    <t>DVR - přemístění do datového rozvaděče, úprava kabeláže
a napájení v ředitelně</t>
  </si>
  <si>
    <t>osazení krabice inst. KO 100, vč. zasekání</t>
  </si>
  <si>
    <t>oživení</t>
  </si>
  <si>
    <t>CIDLO  CO2 S AKUSTICKOU SIGNALIZACI</t>
  </si>
  <si>
    <t>Gastro zařízení</t>
  </si>
  <si>
    <t>Zdravotechnika</t>
  </si>
  <si>
    <t>" Dřevotřískový parapet s povrchovou úpravou laminování, olaminování celé boční hrany, š 330mm, tl desky 18mm, š nosu 25mm "</t>
  </si>
  <si>
    <t>Vnitřní parapet dl 1200mm - Specifikace dle PD - T2</t>
  </si>
  <si>
    <t>" Dřevotřískový parapet s povrchovou úpravou laminování, olaminování celé boční hrany, š 200mm, tl desky 18mm, š nosu 25mm "</t>
  </si>
  <si>
    <t>Vnitřní parapet + kryt radiátoru + police dl 5400mm v 725mm - Specifikace dle PD - T3</t>
  </si>
  <si>
    <t>" Kompletní výrobek  - dřevotřískové desky s povrchovou úpravou laminování, boční stěny + lemování desky ABS hrana, desky lamino tl 25mm, do parapetní desky vložena dřevěná mřížka z masivu 300x1400mm. Vyjímatelný kryt radiátoru - dřevotřísková deska s povrchovou úpravou laminování, bořní lemování desky ABS hrana, desky lamino tl 25mm "</t>
  </si>
  <si>
    <t>Vnitřní parapet + kryt radiátoru + police dl 4400mm v 725mm - Specifikace dle PD - T4</t>
  </si>
  <si>
    <t>Vnitřní parapet + kryt radiátoru + police dl 2960mm v 725mm - Specifikace dle PD - T5</t>
  </si>
  <si>
    <t>Kryt radiátoru + police dl 1620mm v 1000mm - Specifikace dle PD - T6</t>
  </si>
  <si>
    <t>" Kompletní výrobek  - dřevotřískové desky s povrchovou úpravou laminování, boční lemování desky ABS hrana, desky lamino tl 25mm. Vyjímatelný kryt radiátoru - vytvořen z nerez děrovaného plechu tl 3mm - tahokov, komaxit "</t>
  </si>
  <si>
    <t>Ucpávka otvoru po odtahu VZT 800x1100mm - Specifikace dle PD - T7</t>
  </si>
  <si>
    <t>" Voděodolná překližka tl 25mm, vložena minerální vata tl 200mm "</t>
  </si>
  <si>
    <t>" Okno otevíravé a sklopné, šesti-komorový profil z PVC vyztužený ocelovou výztuhou, rám doplněn o rozšiřovací profil v 30mm pro osazení parapetů, zasklení trojsklo 4-12-4-12-4, plněno argonem, kování celoobvodové s mikroventilací, ovládací prvky plastové "</t>
  </si>
  <si>
    <t>" Okno otevíravé a sklopné, šesti-komorový profil z PVC vyztužený ocelovou výztuhou, rám doplněn o rozšiřovací profil v 30mm pro osazení parapetů, zasklení dvojsklo 4-16-4, prosklení neprůhledné, kování celoobvodové s mikroventilací, ovládací prvky plastové "</t>
  </si>
  <si>
    <t>Okno plastové 1200x1550mm - Specifikace dle PD - O3</t>
  </si>
  <si>
    <t>Okno plastové 1200x1600mm - Uw = 1,00 W/m2K - Specifikace dle PD - O2</t>
  </si>
  <si>
    <t>Okno plastové 2400x2400mm - okenní sestava - Uw = 1,00 W/m2K - Specifikace dle PD - O1</t>
  </si>
  <si>
    <t>Sestava okno/dveře/nadsvětlík plastová 2400x2400mm - Uw = 1,00 W/m2K - Specifikace dle PD - O4</t>
  </si>
  <si>
    <t>" Okno otevíravé a sklopné+únikové dveře+nadsvětlík, šesti-komorový profil z PVC vyztužený ocelovou výztuhou, rám doplněn o rozšiřovací profil v 30mm pro osazení parapetů, rám okna v nadpraží opatřen rozšiřovacím profilem v 100mm, mezi okna vložen spojovací profil, zasklení trojsklo 4-12-4-12-4, plněno argonem (okno, nadsvětlík), HPL sendvičový PUR panel v tl 36mm + bezpečnostní prosklení VSG 33.2-12-4-12-VSG 33.2, plněno argonem, kování celoobvodové s mikroventilací, ovládací prvky plastové, dveřní závěsy typové, samostatný štítek (klika-klika) a zámek, standardní bezpečnostní vložka, ovládání přes cylindrickou bezpečnostní vložku, povrchová úprava nerez "</t>
  </si>
  <si>
    <t>Okno plastové 1200x2400mm - Uw = 1,00 W/m2K - Specifikace dle PD - O5</t>
  </si>
  <si>
    <t>" Okno otevíravé a sklopné, šesti-komorový profil z PVC vyztužený ocelovou výztuhou, rám doplněn o rozšiřovací profil v 30mm pro osazení parapetů, rám okna v nadpraží opatřen rozšiřovacím profilem v 100mm, mezi okna vložen spojovací prodil, zasklení trojsklo 4-12-4-12-4, plněno argonem, kování celoobvodové s mikroventilací, ovládací prvky plastové "</t>
  </si>
  <si>
    <t>" Okno otevíravé a sklopné, šesti-komorový profil z PVC vyztužený ocelovou výztuhou, rám doplněn o rozšiřovací profil v 30mm pro osazení parapetů, rám okna v nadpraží opatřen rozšiřovacím profilem v 100mm, mezi okna vložek spojovací profil, zasklení trojsklo 4-12-4-12-4, plněno argonem, kování celoobvodové s mikroventilací, ovládací prvky plastové "</t>
  </si>
  <si>
    <t>Vnitřní dveře 900x1970mm EW 15 DP3-C - Specifikace dle PD - D1</t>
  </si>
  <si>
    <t>" RÁM ocelová zárubeň s pevným nadsvětlíkem pro zazdění do otvoru, 3 závěsy, zárubeň s těsněním, materiál pozinkovaný plech tl 1,5mm, nadsvětlík neotevíravý, DVEŘNÍ KŘÍDLO jednokřídlové, pravé, částečně prosklené, hladké, povrch vysokotlaký laminát 0,8mm, kce dveří dutinková dřevotříska DTD, osazena větrací mřížka, PROSKLENÍ bezpečnostní z lepených skel VSG 33.2, KOVÁNÍ závěsy typové, samostatný štítek (klika-klika) a zámek, základní cylindrická vložka. povrchová úprava eloxovaný hliník, PRAH bezprahové, ukončení v návaznosti nášlapných vrstev - prahová krycí lišta s dorazem "</t>
  </si>
  <si>
    <t>Vnitřní dveře 800x1970mm s nadsvětlíkem 800x630mm EW 15 DP3-C - Specifikace dle PD - D3</t>
  </si>
  <si>
    <t>Vnitřní dveře 800x1970mm s nadsvětlíkem 800x630mm - Specifikace dle PD - D3</t>
  </si>
  <si>
    <t>Vnitřní dveře 800x1970mm s nadsvětlíkem 800x630mm - Specifikace dle PD - D2</t>
  </si>
  <si>
    <t>76699933Rb</t>
  </si>
  <si>
    <t>76699933Ra</t>
  </si>
  <si>
    <t>Vnitřní dveře 800x1970mm s nadsvětlíkem 800x630mm - Specifikace dle PD - D4</t>
  </si>
  <si>
    <t>Vnitřní dveře 800x1970mm s nadsvětlíkem 800x630mm - Specifikace dle PD - D5</t>
  </si>
  <si>
    <t>Vnitřní dveře 800x1970mm s nadsvětlíkem 800x630mm EW 15 DP3-C - Specifikace dle PD - D6</t>
  </si>
  <si>
    <t>Vnitřní dveře 800x1970mm - Specifikace dle PD - D7</t>
  </si>
  <si>
    <t>76699938R</t>
  </si>
  <si>
    <t>Rámová posuvná stěna 3380x3150mm - Specifikace dle PD - D8</t>
  </si>
  <si>
    <t>" Nová ocelová přesuvná stěna s výplní z tahokovu, 4x posuvný díl + nadsvětlík, vč povrchové úpravy "</t>
  </si>
  <si>
    <t>Vnitřní dveře 800x1970mm EW 15 DP3-C - Specifikace dle PD - D9</t>
  </si>
  <si>
    <t>" RÁM stávající ocelová zárubeň obroušena a natřena 1x základ 2x nátěr, DVEŘNÍ KŘÍDLO jednokřídlové, pravé, částečně prosklené, hladké, povrch vysokotlaký laminát 0,8mm, kce dveří dutinková dřevotříska DTD, osazena větrací mřížka, PROSKLENÍ bezpečnostní z lepených skel VSG 33.2, KOVÁNÍ závěsy typové, samostatný štítek (klika-klika) a zámek, základní cylindrická vložka, doplněno o WC zámek, povrchová úprava eloxovaný hliník, PRAH bezprahové, ukončení v návaznosti nášlapných vrstev - prahová krycí lišta s dorazem "</t>
  </si>
  <si>
    <t>" RÁM ocelová zárubeň s pevným nadsvětlíkem pro zazdění do příčky tl 100mm, 3 závěsy, zárubeň s těsněním, materiál pozinkovaný plech tl 1,5mm, nadsvětlík neotevíravý, DVEŘNÍ KŘÍDLO jednokřídlové, pravé, částečně prosklené, hladké, povrch vysokotlaký laminát 0,8mm, kce dveří dutinková dřevotříska DTD, osazena větrací mřížka, PROSKLENÍ bezpečnostní z lepených skel VSG 33.2, KOVÁNÍ závěsy typové, samostatný štítek (klika-klika) a zámek, základní cylindrická vložka, doplněno o WC zámek, povrchová úprava eloxovaný hliník, PRAH bezprahové, ukončení v návaznosti nášlapných vrstev - prahová krycí lišta s dorazem "</t>
  </si>
  <si>
    <t>" RÁM ocelová zárubeň s pevným nadsvětlíkem pro zazdění do příčky tl 100mm, 3 závěsy, zárubeň s těsněním, materiál pozinkovaný plech tl 1,5mm, nadsvětlík neotevíravý, DVEŘNÍ KŘÍDLO jednokřídlové, pravé, částečně prosklené, hladké, povrch vysokotlaký laminát 0,8mm, kce dveří dutinková dřevotříska DTD, osazena větrací mřížka, PROSKLENÍ bezpečnostní z lepených skel VSG 33.2, KOVÁNÍ závěsy typové, samostatný štítek (klika-klika) a zámek, základní cylindrická vložka, povrchová úprava eloxovaný hliník, PRAH bezprahové, ukončení v návaznosti nášlapných vrstev - prahová krycí lišta s dorazem "</t>
  </si>
  <si>
    <t>" RÁM ocelová zárubeň s pevným nadsvětlíkem pro zazdění do příčky tl 125mm, 3 závěsy, zárubeň s těsněním, materiál pozinkovaný plech tl 1,5mm, nadsvětlík neotevíravý, DVEŘNÍ KŘÍDLO jednokřídlové, pravé, částečně prosklené, hladké, povrch vysokotlaký laminát 0,8mm, kce dveří dutinková dřevotříska DTD, osazena větrací mřížka, PROSKLENÍ bezpečnostní z lepených skel VSG 33.2, KOVÁNÍ závěsy typové, samostatný štítek (klika-klika) a zámek, základní cylindrická vložka, povrchová úprava eloxovaný hliník, PRAH bezprahové, ukončení v návaznosti nášlapných vrstev - prahová krycí lišta s dorazem "</t>
  </si>
  <si>
    <t>" RÁM ocelová zárubeň s pevným nadsvětlíkem pro zazdění do otvoru, 3 závěsy, zárubeň s těsněním, materiál pozinkovaný plech tl 1,5mm, nadsvětlík neotevíravý, DVEŘNÍ KŘÍDLO jednokřídlové, pravé, částečně prosklené, hladké, povrch vysokotlaký laminát 0,8mm, kce dveří dutinková dřevotříska DTD, osazena větrací mřížka, PROSKLENÍ bezpečnostní z lepených skel VSG 33.2, KOVÁNÍ závěsy typové, samostatný štítek (klika-klika) a zámek, základní cylindrická vložka, povrchová úprava eloxovaný hliník, PRAH bezprahové, ukončení v návaznosti nášlapných vrstev - prahová krycí lišta s dorazem "</t>
  </si>
  <si>
    <t>" RÁM ocelová zárubeň pro zdění z PB, 3 závěsy, zárubeň s těsněním, materiál pozinkovaný plech tl 1,5mm, DVEŘNÍ KŘÍDLO jednokřídlové, pravé, částečně prosklené, hladké, povrch vysokotlaký laminát 0,8mm, kce dveří masiv MDF opláštěná HDF deskou se speciální protipožární výplní, PROSKLENÍ bezpečnostní a protipožární z lepených skel VSG 33.2, KOVÁNÍ závěsy typové, samostatný štítek (klika-klika) a zámek, základní cylindrická vložka, povrchová úprava eloxovaný hliník, dveře opatřeny samozavíračem, PRAH bezprahové, ukončení v návaznosti nášlapných vrstev - prahová krycí lišta s dorazem "</t>
  </si>
  <si>
    <t>" Demontáž stávajících klempířských prvků na rekonstrukcí dotčené části fasády "</t>
  </si>
  <si>
    <t>Parapet poplastovaný plech FeZn š 210mm dl 2400mm - Specifikace dle PD - 1K</t>
  </si>
  <si>
    <t>" Nová parapetní sestava, poplastovaný plech FeZn 0,75mm s povrchovou úpravou, 2x hliníková koncovka, typový prvek "</t>
  </si>
  <si>
    <t>Parapet poplastovaný plech FeZn š 210mm dl 1200mm - Specifikace dle PD - 1K</t>
  </si>
  <si>
    <t xml:space="preserve">" Včetně veškerých ovládacích, kotvících a systémových prvků, včetně příslušenství " </t>
  </si>
  <si>
    <t>Lišta začisťovací okenní APU - Specifikace dle výpisu ostatních prvků - 1</t>
  </si>
  <si>
    <t>Dilatační podlahová lišta - Specifikace dle výpisu ostatních prvků - 2</t>
  </si>
  <si>
    <t>Mřížka do dveří eloxovaný hliník 300x150mm - Specifikace dle výpisu ostatních prvků - 3</t>
  </si>
  <si>
    <t>Přenosný hasící přístroj na stěnu PHP 21A 6kg - Specifikace dle výpisu ostatních prvků - 4</t>
  </si>
  <si>
    <t>Vodotěsný a plynotěsný poklop 600x600mm - Specifikace dle výpisu ostatních prvků - 5</t>
  </si>
  <si>
    <t>" Nosnost 1,5t, zakrytí vnitřní šachty, určen k předláždění dlažby do síly 10mm, v rozích poklopu umístěny závitové sloupce se šroubem "</t>
  </si>
  <si>
    <t>Vysekání rýh v dlažbě betonové nebo jiné monolitické hl do 100 mm š do 300 mm</t>
  </si>
  <si>
    <t xml:space="preserve">" Vyřezání rýh v podkladním betonu pro provedení inženýrských sítí " </t>
  </si>
  <si>
    <t>Příplatek k vysekání rýh v dlažbě betonové nebo jiné monolitické hl do 100 mm ZKD 100 mm š rýhy</t>
  </si>
  <si>
    <t xml:space="preserve">" Příplatek za dalších 100mm rýhy, předpokládaná šířka rýh 400mm " </t>
  </si>
  <si>
    <t>" Výkopy uvnitř objektu pro účely provedení inženýrských sítí " 50*0,4*0,5</t>
  </si>
  <si>
    <t>" Bourání stávajících parapetních panelů " 0,36*(2,4*0,8+7,2*0,8+1,7*1,2)</t>
  </si>
  <si>
    <t>Vybourání plastových rámů oken včetně křídel plochy přes 2 do 4 m2</t>
  </si>
  <si>
    <t>" Vybourání stajícího okna v místě původních VZT mřížek " 1,2*1,6</t>
  </si>
  <si>
    <t>Bourání kontaktního zateplení z polystyrenových desek tl přes 120 do 180 mm</t>
  </si>
  <si>
    <t>Bourání příček z cihel pálených na MVC tl do 150 mm</t>
  </si>
  <si>
    <t>" Bourání stávajících zděných příček tl 100mm " 3,3*(1,9+4,8+0,8+1+1+2,4+4,4+1,3+3,3+2,6)</t>
  </si>
  <si>
    <t>" Bourání stávajících zděných příček tl 150mm " 3,3*(0,9+3,3+4,1+6,3+5,1+2+64,9+1,4+2+1,2+2,4+5,4+3+1,7+1+4,5)</t>
  </si>
  <si>
    <t>" Bourání stávajícího obvodového "zdiva" " 0,36*3,3*(0,3+0,3+1,1+0,3)</t>
  </si>
  <si>
    <t>971042551R</t>
  </si>
  <si>
    <t>Vybourání otvorů v kcích betonových a zděných</t>
  </si>
  <si>
    <t xml:space="preserve">" Vybourání otvorů pro provedení inženýrských sítí do kcí betonových a zděných " </t>
  </si>
  <si>
    <t>Demontáž obložení stropů z desek dřevoštěpkových tl přes 15 mm na pero a drážku šroubovaných</t>
  </si>
  <si>
    <t>" Demontáž stávajících dřevěných podhledů " 16,7+8+14,1+4</t>
  </si>
  <si>
    <t>" Vybourání stávajících výplní otvorů " (0,8*1,97)*10+(0,9*1,97)*2+(0,6*1,97)*4+1,6*1,97</t>
  </si>
  <si>
    <t>Vybourání kovových dveřních zárubní pl do 2 m2 vč vyvěšení křídel do suti</t>
  </si>
  <si>
    <t>Vybourání plastových rámů oken včetně křídel plochy do 1 m2</t>
  </si>
  <si>
    <t>" Vybourání stávajících výplní otvorů " 0,6*1,6</t>
  </si>
  <si>
    <t>" Vybourání stávajících výplní otvorů " 3*(1,2*2,4)</t>
  </si>
  <si>
    <t>Vybourání plastových rámů oken včetně křídel plochy přes 4 m2</t>
  </si>
  <si>
    <t>" Vybourání stávajících výplní otvorů " 4*(2,4*2,4)</t>
  </si>
  <si>
    <t>" Demontáž VZT mřížek " (0,8*0,4)*2</t>
  </si>
  <si>
    <t>Bourání příček ze skleněných tvárnic tl do 150 mm</t>
  </si>
  <si>
    <t>" Bourání stávajících luxferových nadsvětlíků " 4*(1,2*1)</t>
  </si>
  <si>
    <t>" Bourání stávajících nášlapných vrstev do suti - odstranění dlažby a cementového lože " 6+22,8+8+5,8+3,3+9,4+14,1+8,9+1,1+1,5+1,1+1,3+0,8+17,3+4,5+61,3+4+18</t>
  </si>
  <si>
    <t>" Bourání stávajících podlahových kcí - betonová mazanina / cementový potěr tl 75mm " 0,075*(6+22,8+8+5,8+3,3+9,4+14,1+8,9+1,1+1,5+1,1+1,3+0,8+17,3+4,5+61,3+4+18+6)</t>
  </si>
  <si>
    <t>" Odstranění stávajících podlahových kcí - hydroizolační vrstvy lepenka + penetrace " 2*(6+22,8+8+5,8+3,3+9,4+14,1+8,9+1,1+1,5+1,1+1,3+0,8+17,3+4,5+61,3+4+18+6)</t>
  </si>
  <si>
    <t>" Odsekání stávajících vnitřních bělninových obkladů, včetně omítky až na zdivo " 1,5*(17,6+6,6+5+12,3+25,8+3,2+3,2+6+9+2+2,6)</t>
  </si>
  <si>
    <t>Demontáž truhlářského obložení stěn z panelů plochy přes 1,5 m2</t>
  </si>
  <si>
    <t>" Demontáž stávajících dřevěných obkladů " 1,5*(7+6)</t>
  </si>
  <si>
    <t>Otlučení (osekání) vnitřní vápenné nebo vápenocementové omítky stěn v rozsahu přes 50 do 100 %</t>
  </si>
  <si>
    <t>" Otlučení stávajících omítek nebouraných stěn " 3,3*(18,9*2+10,6*2+9,8)</t>
  </si>
  <si>
    <t>" Rozebrání okapového chodníku " 1*2</t>
  </si>
  <si>
    <t>" Výkop pro betonový nástupní stupeň " 1,5*1*0,6</t>
  </si>
  <si>
    <t>" Vyspravení a doplnění stávající základové betonové desky " 0,1*(95,9+108)</t>
  </si>
  <si>
    <t>" Výztuž nových základových desek 1x sítí KARI 150x150x8 mm " ((95,9+108)*6)/1000</t>
  </si>
  <si>
    <t>" Nový základový pás u vstupu do učebny " 0,6*0,3*1,5</t>
  </si>
  <si>
    <t>" Vytvoření desky schodiště u vstupu do objektu a nadbetonování 2ks schod stupňů " 2*(0,3*0,18*1,5)+1,5*1,2*0,2</t>
  </si>
  <si>
    <t>" Bednění nových základových desek " 0,3*(14,8+14,8+18+18+3,6+11+3+2,5+3+3+6)</t>
  </si>
  <si>
    <t>" Dozdívky obvodového pláště " 3,3*(0,6+1)+1,9*3,7+2*(0,6*16,6)+5*(0,9*3,2)+0,6*(3,6+2,2+3,6+2,2)</t>
  </si>
  <si>
    <t xml:space="preserve">" Nové ocelové překlady z profilů z válcované oceli typ L č. 100/100/6mm + pásovina 50/5mm a typ L č.100/65/8mm + pásovina 50/5mm " </t>
  </si>
  <si>
    <t>úhelník ocelový rovnostranný jakost S235JR (11 375) 100x100x6mm</t>
  </si>
  <si>
    <t>úhelník ocelový nerovnostranný jakost S235JR (11 375) 100x65x8mm</t>
  </si>
  <si>
    <t xml:space="preserve">" Nové překlady nenosné systémové " </t>
  </si>
  <si>
    <t>Překlad nenosný pórobetonový š 100 mm v do 250 mm na tenkovrstvou maltu dl přes 1000 do 1250 mm</t>
  </si>
  <si>
    <t>Zdivo z pórobetonových tvárnic na pero a drážku přes P2 do P4 přes 450 do 600 kg/m3 na tenkovrstvou maltu tl 300 mm</t>
  </si>
  <si>
    <t>Příčka z pórobetonových hladkých tvárnic na tenkovrstvou maltu tl 125 mm</t>
  </si>
  <si>
    <t>" Nové příčky a dělící stěny tl 100mm " 3,3*(0,5+0,5+0,5+0,4+0,3+1,2+0,8+4,1+0,6+1,7+1,2+1,2+1,3+1+2,6+2,6+0,7)</t>
  </si>
  <si>
    <t>" Dozdívky vnitřní nosné stěny " 3,3*(1,3+0,2)</t>
  </si>
  <si>
    <t>" Nové příčky a dělící stěny tl 125mm " 3,3*(5,9+1,1+5,4+2,6+1,6)</t>
  </si>
  <si>
    <t>" Nové příčky a dělící stěny tl 150mm " 3,3*(0,4+2,4+3,7+5)</t>
  </si>
  <si>
    <t>" SDK podhled impregnovaný do místností se zvýšenou vlhkostí, včetně veškerých systémových prvků a příslušenství " 9+1,3+1,7</t>
  </si>
  <si>
    <t>" SDK podhled do místností bez zvýšené vlhkosti, včetně veškerých systémových prvků a příslušenství " 16,5+25,5+5,1+5,1+2,8+4,3+4,6+5</t>
  </si>
  <si>
    <t xml:space="preserve">podhled kazetový demontovatelný bílý pískový bez děrování hrana rovná tl 8mm 600x600mm, impregnovaný, vč veškerých systémových prvků a příslušenství </t>
  </si>
  <si>
    <t xml:space="preserve">" Montáž kazetového SDK podhledu " </t>
  </si>
  <si>
    <t>76399901R</t>
  </si>
  <si>
    <t>76399902R</t>
  </si>
  <si>
    <t>76399903R</t>
  </si>
  <si>
    <t>76399904R</t>
  </si>
  <si>
    <t>76399905R</t>
  </si>
  <si>
    <t>76399906R</t>
  </si>
  <si>
    <t>Výztuž základových desek betonářskou ocelí 10 505 (R)</t>
  </si>
  <si>
    <t xml:space="preserve">" Výztuž 2ks vytvořených schodišťových stupňů  a desky " </t>
  </si>
  <si>
    <t>Montáž podlah keramických pro mechanické zatížení protiskluzných lepených flexibilním lepidlem do 9 ks/m2</t>
  </si>
  <si>
    <t xml:space="preserve">" Montáž obložení podlahy nového vstupu do učebny " </t>
  </si>
  <si>
    <t>dlažba keramická slinutá protiskluzná do interiéru i exteriéru pro vysoké mechanické namáhání do 9ks/m2</t>
  </si>
  <si>
    <t xml:space="preserve">" Montáž obložení 2ks schodišťových stupňů nového vstupu do učebny " </t>
  </si>
  <si>
    <t>Montáž obkladů stupnic z dlaždic protiskluzných keramických flexibilní lepidlo š přes 250 do 300 mm</t>
  </si>
  <si>
    <t>schodovka protiskluzná šířky 300x600mm</t>
  </si>
  <si>
    <t>59761337R</t>
  </si>
  <si>
    <t>Montáž obkladů podstupnic z dlaždic reliéfních keramických flexibilní lepidlo v přes 150 do 200 mm</t>
  </si>
  <si>
    <t>dlažba keramická slinutá protiskluzná do interiéru přes 45 do 50ks/m2</t>
  </si>
  <si>
    <t>" Penetrace povrchu před provedením povlakových nášlapných vrstev - skladba PD1b "</t>
  </si>
  <si>
    <t>PVC vinyl homogenní protiskluzná se vsypem a výztuž. vrstvou tl 2.00mm nášlapná vrstva 2.00mm, hořlavost Bfl-s1, třída zátěže 33, útlum 7dB, bodová zátěž ≤ 0.10mm, protiskluznost R10</t>
  </si>
  <si>
    <t>" Provedení nášlapné vrstvy lepením pásů PVC, včetně provedení soklů a detailů, včetně veškerých systémových prvků - skladba PD1b "</t>
  </si>
  <si>
    <t>" Nové kce podlah - cementový potěr - skladba PD1b "</t>
  </si>
  <si>
    <t>Potěr cementový samonivelační litý C25 tl přes 40 do 45 mm</t>
  </si>
  <si>
    <t>" Nové kce podlah - cementový potěr - skladba PD1c "</t>
  </si>
  <si>
    <t>" Příplatek za další 3mm potěru skladba PD1b "</t>
  </si>
  <si>
    <t>" Penetrace před provedením dlažby - skladba PD1c "</t>
  </si>
  <si>
    <t>" Provedení HI stěrky před provedením povrchu z dlaždic - skladba PD1c "</t>
  </si>
  <si>
    <t>" Montáž podlahy z velkoformátové dlažby do flexibilního lepidla 1NP, včetně provedení soklů a detailů, včetně veškerých systémových prvků - skladba PD1c "</t>
  </si>
  <si>
    <t>Montáž izolace tepelné podlah volně kladenými rohožemi, pásy, dílci, deskami 1 vrstva</t>
  </si>
  <si>
    <t>" Montáž tepelné izolace podlahy - skladby PD1b a PD1c " 95,9+108</t>
  </si>
  <si>
    <t>deska EPS 150 pro konstrukce s vysokým zatížením λ=0,035 tl 40mm</t>
  </si>
  <si>
    <t xml:space="preserve">" Penetrační nátěr asfaltový před provedeným hydroizolačních pásů - skladby PD1b a PD1c " </t>
  </si>
  <si>
    <t xml:space="preserve">" Provedení hydroizolačních pásů - skladby PD1b a PD1c " </t>
  </si>
  <si>
    <t>Montáž profilu dilatační spáry koutové bez izolace dlažeb</t>
  </si>
  <si>
    <t xml:space="preserve">" Dilatace podlah od obvodových stěn pěnovým PE tl 10mm pro skladbu PD1c " </t>
  </si>
  <si>
    <t>59042140R</t>
  </si>
  <si>
    <t>páska dilatační z pěnového PE š 10mm</t>
  </si>
  <si>
    <t>Montáž pásky dilatační povlakových podlah</t>
  </si>
  <si>
    <t xml:space="preserve">" Dilatace podlah od obvodových stěn pěnovým PE tl 10mm pro skladbu PD1b " </t>
  </si>
  <si>
    <t>" Bourání stávajícího KZS v místě bourání oken a parapetů " 15,3*3+1,8*2,2+9*2,2</t>
  </si>
  <si>
    <t>" - lepící a stěrkovací hmota na bázi cementu určená k lepení a stěrkování fasádních desek "</t>
  </si>
  <si>
    <t>Kontaktní zateplovací systém - expandovaný polystyren tl 160mm λ=0,037 - Specifikace dle PD</t>
  </si>
  <si>
    <t>" - izolant fasádní desky z expandovaného polystyrenu tl 160mm, kotveno plastovými kotvami k podkladu "</t>
  </si>
  <si>
    <t>Izolace proti vlhkosti svislá za studena těsnicí stěrkou jednosložkovou na bázi cementu</t>
  </si>
  <si>
    <t xml:space="preserve">" Napojení svislé izolace nad terénem cementem pojenou těsnící maltou " </t>
  </si>
  <si>
    <t>Cementový postřik vnitřních stěn nanášený celoplošně ručně</t>
  </si>
  <si>
    <t>" Penetrace před provedením štukových omítek nově omítaných povrchů "</t>
  </si>
  <si>
    <t>" Cementový postřik ponechávaných stávajících stěn " 3,3*(5,2+4,8+19,2+4,8+26,4+13+36)</t>
  </si>
  <si>
    <t>Potažení vnitřních stěn vápenným štukem tloušťky do 3 mm</t>
  </si>
  <si>
    <t>" Potažení vnitřních opravených omítek štukem " 3,3*(5,2+4,8+19,2+4,8+26,4+13+36)</t>
  </si>
  <si>
    <t>Vápenocementová omítka hladká jádrová jednovrstvá vnitřních stěn nanášená ručně</t>
  </si>
  <si>
    <t>" Oprava vnitřních ponechávaných omítek " 3,3*(5,2+4,8+19,2+4,8+26,4+13+36)</t>
  </si>
  <si>
    <t>Dvojnásobné pačokování v místnostech v do 3,80 m</t>
  </si>
  <si>
    <t>" Pačokovací nátěr v místnostech s ponechanou stávající omítkou " 3,3*(36+19,6+6+8*22,8+4+7+4*22)</t>
  </si>
  <si>
    <t>Krycí dvojnásobný vápenný nátěr omítek stupně členitosti 1 a 2</t>
  </si>
  <si>
    <t xml:space="preserve">" Případný vysoce paropropustný nátěr vnitřních ponechávaných omítek " </t>
  </si>
  <si>
    <t>Nátěry</t>
  </si>
  <si>
    <t>" Montáž bělninových obkladů " 2,05*(4,8+3,1+7,2+10,6+6,4+0,6+2,5+4+6,1+6,8+2,3+2,3+2,5+2)</t>
  </si>
  <si>
    <t>" Provedení stěrkového tmelu s výztužnou sítí nově omítaných vnitřních povrchů stěn a zdí "</t>
  </si>
  <si>
    <t>" Příplatek za dalších 2x 5mm vnitřní vápenné omítky jádrové " 2*442,5</t>
  </si>
  <si>
    <t>Očištění vnějších ploch otryskáním sušeným křemičitým pískem</t>
  </si>
  <si>
    <t>" Očištění vnějších ploch před provedením nového KZS "</t>
  </si>
  <si>
    <t>Vyrovnání podkladu vnějších stěn maltou vápenocementovou tl do 10 mm</t>
  </si>
  <si>
    <t>Příplatek k vyrovnání vnějších stěn maltou vápenocementovou za každých dalších 5 mm tl</t>
  </si>
  <si>
    <t>" Vyrovnání podkladu jádrovou omítkou vnějších ploch - příplatek za dalších 2x5mm "</t>
  </si>
  <si>
    <t>" Vyrovnání podkladu jádrovou omítkou vnějších ploch před provedením nového KZS "</t>
  </si>
  <si>
    <t>Oprava cementové hladké omítky vnějších stěn v rozsahu 100%</t>
  </si>
  <si>
    <t xml:space="preserve">" Oprava vnějších ploch před provedením nového KZS " </t>
  </si>
  <si>
    <t>" Nátěr vnějších ploch před provedením nového KZS, penetrační nátěr pod šlechtěné omítky "</t>
  </si>
  <si>
    <t>" Provedení okapového chodníku z betonových dlaždic, včetně lože z kameniva tl 50mm " 0,5*15</t>
  </si>
  <si>
    <t>" Montáž lešení řadového trubkového těžkého pracovního s podlahami  z fošen nebo dílců min. tl. 38 mm, s provozním zatížením tř. 4 do 300 kg/m2 šířky tř. W15 přes 1,5 do 1,8 m, výšky přes 10 do 20 m " 3,5*(18+14,8)</t>
  </si>
  <si>
    <t>" Předpokládaná doba užití lešení 60 dní " 60*114,8</t>
  </si>
  <si>
    <t>" Uložení nespotřebované vytěžené zeminy na skládku "</t>
  </si>
  <si>
    <t>" Vzd skládky do 20km = 10km příplatek " 10*11</t>
  </si>
  <si>
    <t>" Poplatek za uložení zeminy na skládce " 11*1,5</t>
  </si>
  <si>
    <t xml:space="preserve">" Výkop v patě objektu pro účely provedení opravy fasády a nového KZS " </t>
  </si>
  <si>
    <t>" Uvažováno s maximálním vodorovným přemístěním výkopku 30m = 20m příplatek " 20*17</t>
  </si>
  <si>
    <t>" Zpětný zásyp okolo objektu + drobné zásypy v exteriéru po provedení sanačních prací "</t>
  </si>
  <si>
    <t>" Výztuž cementového potěru (nové kce podlah) sítí KARI 100/100/4 mm - skladby PD1b a PD1c " 2*(((108+95,9)*4)/1000)+1,6*0,4</t>
  </si>
  <si>
    <t>" Vzdálenost skládky do 20km " 19*211</t>
  </si>
  <si>
    <t>" Uložení a likvidace veškerých vybouraných hmot a suti v souladu se zákonem o odpadech a platnou legislativou "</t>
  </si>
  <si>
    <t>179</t>
  </si>
  <si>
    <t>180</t>
  </si>
  <si>
    <t>181</t>
  </si>
  <si>
    <t>182</t>
  </si>
  <si>
    <t>183</t>
  </si>
  <si>
    <t>Výkaz výměr</t>
  </si>
  <si>
    <r>
      <t xml:space="preserve">Akustický minerální podhled </t>
    </r>
    <r>
      <rPr>
        <sz val="8"/>
        <color theme="0"/>
        <rFont val="Arial CE"/>
        <charset val="238"/>
      </rPr>
      <t>Eurocoustic Tonga,  Eurocolors Eurodesign</t>
    </r>
    <r>
      <rPr>
        <sz val="8"/>
        <rFont val="Arial CE"/>
        <family val="2"/>
        <charset val="238"/>
      </rPr>
      <t xml:space="preserve"> , 600x600x40mm, pohltivost alfa w=1,0, hrana A – rovná, reakce na oheň A1, deska jádro z kamenné vaty, povrchová vrstva ze skelnétkaniny probarvované ve výrobě, odolnost vůči vlhkosti 100%, Indoor air quality A+, balení po 7,2m2</t>
    </r>
  </si>
  <si>
    <r>
      <t xml:space="preserve">obklad difrakční rezonátor, tvar lichoběžníku se spodní hloubkou 80mm a horní hloubkou 200mm. Z vnitřní strany na přední stěně je položena minerální vata tl. 40mm. Rezonátor je naladěn na hlavní kmitočet 160Hz. Rezonátor je vyroben z drážkovaných desek z vermikulitu </t>
    </r>
    <r>
      <rPr>
        <sz val="8"/>
        <color theme="0"/>
        <rFont val="Arial CE"/>
        <charset val="238"/>
      </rPr>
      <t>Grenamat B</t>
    </r>
    <r>
      <rPr>
        <sz val="8"/>
        <rFont val="Arial CE"/>
        <family val="2"/>
        <charset val="238"/>
      </rPr>
      <t xml:space="preserve">, reakce na oheň B-s1-d0, Povrch desky HPL index šíření plamene ≤20 mm/min. </t>
    </r>
  </si>
  <si>
    <t>" Vnější žaluzie hliníkové, tvar písmene Z, ovládání mechanicky klikou, mezi žaluzii a obvodovou stěnu vložen izolant z fenolické pěny tl 60mm v 300mm "</t>
  </si>
  <si>
    <t>Venkovní horizontální žaluzie - lamely š 70mm 1200x2400mm - Specifikace dle PD - S1</t>
  </si>
  <si>
    <t>Venkovní horizontální žaluzie - lamely š 70mm 2400x2400mm - Specifikace dle PD -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</si>
</sst>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0;\-#,##0.000"/>
    <numFmt numFmtId="165" formatCode="0.0%"/>
    <numFmt numFmtId="166" formatCode="#,##0.00_ ;\-#,##0.00\ "/>
    <numFmt numFmtId="167" formatCode="_-* #,##0.00&quot; Kč&quot;_-;\-* #,##0.00&quot; Kč&quot;_-;_-* \-??&quot; Kč&quot;_-;_-@_-"/>
  </numFmts>
  <fonts count="58" x14ac:knownFonts="1">
    <font>
      <sz val="11"/>
      <color theme="1"/>
      <name val="Calibri"/>
      <family val="2"/>
      <charset val="238"/>
      <scheme val="minor"/>
    </font>
    <font>
      <sz val="7"/>
      <name val="Arial CE"/>
      <family val="2"/>
      <charset val="238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18"/>
      <name val="Arial"/>
      <family val="2"/>
      <charset val="238"/>
    </font>
    <font>
      <b/>
      <sz val="16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1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</font>
    <font>
      <sz val="10"/>
      <name val="Helv"/>
      <family val="2"/>
    </font>
    <font>
      <sz val="10"/>
      <name val="Arial"/>
      <family val="2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Trebuchet MS"/>
      <family val="2"/>
    </font>
    <font>
      <sz val="10"/>
      <name val="Arial CE"/>
      <charset val="238"/>
    </font>
    <font>
      <i/>
      <sz val="8"/>
      <name val="Arial CE"/>
      <charset val="238"/>
    </font>
    <font>
      <i/>
      <sz val="11"/>
      <color theme="1"/>
      <name val="Arial CE"/>
      <charset val="238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8"/>
      <name val="Arial CE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sz val="7"/>
      <name val="Arial CE"/>
      <charset val="238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9"/>
      <name val="Arial CE"/>
      <family val="2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0"/>
      <color theme="10"/>
      <name val="Arial"/>
      <family val="2"/>
    </font>
    <font>
      <b/>
      <u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66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2" fillId="0" borderId="0" applyAlignment="0">
      <alignment vertical="top" wrapText="1"/>
      <protection locked="0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21" fillId="0" borderId="0" applyFill="0" applyBorder="0" applyProtection="0"/>
    <xf numFmtId="0" fontId="12" fillId="0" borderId="0"/>
    <xf numFmtId="0" fontId="4" fillId="0" borderId="0"/>
    <xf numFmtId="0" fontId="12" fillId="0" borderId="0"/>
    <xf numFmtId="0" fontId="4" fillId="0" borderId="0"/>
    <xf numFmtId="0" fontId="3" fillId="0" borderId="0"/>
    <xf numFmtId="0" fontId="2" fillId="0" borderId="0" applyAlignment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22" fillId="0" borderId="0"/>
    <xf numFmtId="0" fontId="23" fillId="0" borderId="0" applyFont="0" applyFill="0" applyBorder="0" applyAlignment="0" applyProtection="0"/>
    <xf numFmtId="0" fontId="12" fillId="0" borderId="0"/>
    <xf numFmtId="0" fontId="28" fillId="0" borderId="0"/>
    <xf numFmtId="0" fontId="29" fillId="0" borderId="0"/>
    <xf numFmtId="0" fontId="29" fillId="0" borderId="0"/>
    <xf numFmtId="0" fontId="32" fillId="0" borderId="0"/>
    <xf numFmtId="0" fontId="33" fillId="0" borderId="0"/>
    <xf numFmtId="0" fontId="23" fillId="0" borderId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167" fontId="56" fillId="0" borderId="0" applyFill="0" applyBorder="0" applyAlignment="0" applyProtection="0"/>
    <xf numFmtId="0" fontId="56" fillId="0" borderId="0"/>
    <xf numFmtId="44" fontId="23" fillId="0" borderId="0" applyFill="0" applyBorder="0" applyAlignment="0" applyProtection="0"/>
    <xf numFmtId="9" fontId="56" fillId="0" borderId="0" applyFill="0" applyBorder="0" applyAlignment="0" applyProtection="0"/>
  </cellStyleXfs>
  <cellXfs count="459">
    <xf numFmtId="0" fontId="0" fillId="0" borderId="0" xfId="0"/>
    <xf numFmtId="0" fontId="1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left"/>
    </xf>
    <xf numFmtId="0" fontId="3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0" fillId="0" borderId="0" xfId="0" applyFill="1"/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7" fontId="6" fillId="0" borderId="6" xfId="0" applyNumberFormat="1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left" wrapText="1"/>
    </xf>
    <xf numFmtId="164" fontId="6" fillId="0" borderId="6" xfId="0" applyNumberFormat="1" applyFont="1" applyFill="1" applyBorder="1" applyAlignment="1" applyProtection="1">
      <alignment horizontal="right"/>
    </xf>
    <xf numFmtId="39" fontId="6" fillId="0" borderId="6" xfId="0" applyNumberFormat="1" applyFont="1" applyFill="1" applyBorder="1" applyAlignment="1" applyProtection="1">
      <alignment horizontal="right"/>
    </xf>
    <xf numFmtId="37" fontId="6" fillId="0" borderId="2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left" wrapText="1"/>
    </xf>
    <xf numFmtId="2" fontId="6" fillId="0" borderId="2" xfId="0" applyNumberFormat="1" applyFont="1" applyFill="1" applyBorder="1" applyAlignment="1" applyProtection="1">
      <alignment horizontal="right"/>
    </xf>
    <xf numFmtId="39" fontId="6" fillId="0" borderId="2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0" fontId="5" fillId="0" borderId="0" xfId="2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left" wrapText="1"/>
    </xf>
    <xf numFmtId="2" fontId="3" fillId="0" borderId="2" xfId="0" applyNumberFormat="1" applyFont="1" applyFill="1" applyBorder="1" applyAlignment="1" applyProtection="1">
      <alignment horizontal="right"/>
    </xf>
    <xf numFmtId="39" fontId="3" fillId="0" borderId="2" xfId="0" applyNumberFormat="1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left" wrapText="1"/>
    </xf>
    <xf numFmtId="2" fontId="10" fillId="0" borderId="2" xfId="0" applyNumberFormat="1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right" wrapText="1"/>
    </xf>
    <xf numFmtId="2" fontId="5" fillId="0" borderId="0" xfId="0" applyNumberFormat="1" applyFont="1" applyFill="1" applyBorder="1" applyAlignment="1" applyProtection="1">
      <alignment horizontal="right"/>
    </xf>
    <xf numFmtId="0" fontId="12" fillId="0" borderId="0" xfId="4" applyFont="1"/>
    <xf numFmtId="0" fontId="12" fillId="0" borderId="0" xfId="4" applyFont="1" applyAlignment="1"/>
    <xf numFmtId="0" fontId="17" fillId="0" borderId="0" xfId="4" applyFont="1"/>
    <xf numFmtId="0" fontId="18" fillId="0" borderId="0" xfId="4" applyFont="1" applyAlignment="1">
      <alignment horizontal="left"/>
    </xf>
    <xf numFmtId="0" fontId="19" fillId="0" borderId="0" xfId="4" applyFont="1" applyAlignment="1">
      <alignment horizontal="left" vertical="center"/>
    </xf>
    <xf numFmtId="0" fontId="4" fillId="0" borderId="0" xfId="5" applyAlignment="1"/>
    <xf numFmtId="0" fontId="13" fillId="0" borderId="0" xfId="4" applyFont="1" applyAlignment="1"/>
    <xf numFmtId="14" fontId="14" fillId="0" borderId="0" xfId="4" applyNumberFormat="1" applyFont="1" applyAlignment="1">
      <alignment horizontal="left"/>
    </xf>
    <xf numFmtId="0" fontId="19" fillId="0" borderId="0" xfId="4" applyFont="1" applyAlignment="1">
      <alignment horizontal="left" vertical="top" wrapText="1"/>
    </xf>
    <xf numFmtId="0" fontId="4" fillId="0" borderId="0" xfId="4" applyAlignment="1">
      <alignment vertical="top" wrapText="1"/>
    </xf>
    <xf numFmtId="0" fontId="13" fillId="0" borderId="0" xfId="4" applyFont="1"/>
    <xf numFmtId="0" fontId="13" fillId="0" borderId="0" xfId="4" applyFont="1" applyAlignment="1">
      <alignment horizontal="left" vertical="center"/>
    </xf>
    <xf numFmtId="0" fontId="12" fillId="0" borderId="0" xfId="4" applyFont="1" applyAlignment="1">
      <alignment horizontal="left"/>
    </xf>
    <xf numFmtId="0" fontId="12" fillId="0" borderId="0" xfId="4" applyFont="1" applyAlignment="1">
      <alignment horizontal="right"/>
    </xf>
    <xf numFmtId="0" fontId="20" fillId="3" borderId="9" xfId="4" applyFont="1" applyFill="1" applyBorder="1" applyAlignment="1">
      <alignment wrapText="1"/>
    </xf>
    <xf numFmtId="0" fontId="20" fillId="3" borderId="10" xfId="4" applyFont="1" applyFill="1" applyBorder="1" applyAlignment="1">
      <alignment wrapText="1"/>
    </xf>
    <xf numFmtId="0" fontId="20" fillId="3" borderId="8" xfId="4" applyFont="1" applyFill="1" applyBorder="1" applyAlignment="1">
      <alignment wrapText="1"/>
    </xf>
    <xf numFmtId="0" fontId="20" fillId="3" borderId="9" xfId="4" applyFont="1" applyFill="1" applyBorder="1" applyAlignment="1">
      <alignment horizontal="right" wrapText="1"/>
    </xf>
    <xf numFmtId="0" fontId="12" fillId="3" borderId="10" xfId="4" applyFont="1" applyFill="1" applyBorder="1" applyAlignment="1"/>
    <xf numFmtId="0" fontId="20" fillId="3" borderId="10" xfId="4" applyFont="1" applyFill="1" applyBorder="1" applyAlignment="1">
      <alignment horizontal="right" wrapText="1"/>
    </xf>
    <xf numFmtId="0" fontId="13" fillId="3" borderId="8" xfId="4" applyFont="1" applyFill="1" applyBorder="1" applyAlignment="1">
      <alignment horizontal="right"/>
    </xf>
    <xf numFmtId="0" fontId="20" fillId="5" borderId="0" xfId="4" applyFont="1" applyFill="1" applyBorder="1" applyAlignment="1">
      <alignment horizontal="right" wrapText="1"/>
    </xf>
    <xf numFmtId="0" fontId="12" fillId="0" borderId="12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" fontId="12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vertical="center"/>
    </xf>
    <xf numFmtId="4" fontId="12" fillId="0" borderId="14" xfId="4" applyNumberFormat="1" applyFont="1" applyBorder="1" applyAlignment="1">
      <alignment horizontal="right" vertical="center"/>
    </xf>
    <xf numFmtId="4" fontId="12" fillId="0" borderId="15" xfId="4" applyNumberFormat="1" applyFont="1" applyBorder="1" applyAlignment="1">
      <alignment horizontal="right" vertical="center"/>
    </xf>
    <xf numFmtId="4" fontId="12" fillId="0" borderId="16" xfId="4" applyNumberFormat="1" applyFont="1" applyBorder="1" applyAlignment="1">
      <alignment horizontal="right" vertical="center"/>
    </xf>
    <xf numFmtId="4" fontId="12" fillId="5" borderId="0" xfId="4" applyNumberFormat="1" applyFont="1" applyFill="1" applyBorder="1" applyAlignment="1">
      <alignment vertical="center"/>
    </xf>
    <xf numFmtId="4" fontId="12" fillId="0" borderId="12" xfId="4" applyNumberFormat="1" applyFont="1" applyBorder="1" applyAlignment="1">
      <alignment horizontal="right" vertical="center"/>
    </xf>
    <xf numFmtId="4" fontId="12" fillId="0" borderId="0" xfId="4" applyNumberFormat="1" applyFont="1" applyBorder="1" applyAlignment="1">
      <alignment horizontal="right" vertical="center"/>
    </xf>
    <xf numFmtId="4" fontId="12" fillId="0" borderId="13" xfId="4" applyNumberFormat="1" applyFont="1" applyBorder="1" applyAlignment="1">
      <alignment horizontal="right" vertical="center"/>
    </xf>
    <xf numFmtId="4" fontId="12" fillId="0" borderId="17" xfId="4" applyNumberFormat="1" applyFont="1" applyBorder="1" applyAlignment="1">
      <alignment horizontal="right" vertical="center"/>
    </xf>
    <xf numFmtId="4" fontId="12" fillId="0" borderId="18" xfId="4" applyNumberFormat="1" applyFont="1" applyBorder="1" applyAlignment="1">
      <alignment horizontal="right" vertical="center"/>
    </xf>
    <xf numFmtId="4" fontId="12" fillId="0" borderId="19" xfId="4" applyNumberFormat="1" applyFont="1" applyBorder="1" applyAlignment="1">
      <alignment horizontal="right" vertical="center"/>
    </xf>
    <xf numFmtId="4" fontId="13" fillId="5" borderId="0" xfId="4" applyNumberFormat="1" applyFont="1" applyFill="1" applyBorder="1" applyAlignment="1">
      <alignment vertical="center"/>
    </xf>
    <xf numFmtId="3" fontId="12" fillId="0" borderId="0" xfId="4" applyNumberFormat="1" applyFont="1"/>
    <xf numFmtId="0" fontId="19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4" fontId="12" fillId="0" borderId="0" xfId="4" applyNumberFormat="1" applyFont="1"/>
    <xf numFmtId="0" fontId="20" fillId="3" borderId="9" xfId="4" applyFont="1" applyFill="1" applyBorder="1" applyAlignment="1">
      <alignment vertical="center"/>
    </xf>
    <xf numFmtId="0" fontId="13" fillId="3" borderId="10" xfId="4" applyFont="1" applyFill="1" applyBorder="1" applyAlignment="1">
      <alignment vertical="center"/>
    </xf>
    <xf numFmtId="0" fontId="13" fillId="3" borderId="8" xfId="4" applyFont="1" applyFill="1" applyBorder="1" applyAlignment="1">
      <alignment vertical="center" wrapText="1"/>
    </xf>
    <xf numFmtId="0" fontId="13" fillId="3" borderId="7" xfId="4" applyFont="1" applyFill="1" applyBorder="1" applyAlignment="1">
      <alignment horizontal="center" vertical="center" wrapText="1"/>
    </xf>
    <xf numFmtId="0" fontId="13" fillId="3" borderId="8" xfId="4" applyFont="1" applyFill="1" applyBorder="1" applyAlignment="1">
      <alignment horizontal="center" vertical="center" wrapText="1"/>
    </xf>
    <xf numFmtId="49" fontId="14" fillId="0" borderId="12" xfId="4" applyNumberFormat="1" applyFont="1" applyBorder="1" applyAlignment="1">
      <alignment horizontal="left"/>
    </xf>
    <xf numFmtId="0" fontId="14" fillId="0" borderId="0" xfId="4" applyFont="1" applyBorder="1" applyAlignment="1">
      <alignment horizontal="left"/>
    </xf>
    <xf numFmtId="0" fontId="14" fillId="0" borderId="0" xfId="4" applyFont="1" applyBorder="1"/>
    <xf numFmtId="165" fontId="14" fillId="0" borderId="0" xfId="4" applyNumberFormat="1" applyFont="1" applyBorder="1"/>
    <xf numFmtId="3" fontId="20" fillId="0" borderId="23" xfId="4" applyNumberFormat="1" applyFont="1" applyBorder="1" applyAlignment="1">
      <alignment horizontal="right"/>
    </xf>
    <xf numFmtId="3" fontId="14" fillId="0" borderId="23" xfId="4" applyNumberFormat="1" applyFont="1" applyBorder="1" applyAlignment="1">
      <alignment horizontal="right"/>
    </xf>
    <xf numFmtId="3" fontId="14" fillId="0" borderId="13" xfId="4" applyNumberFormat="1" applyFont="1" applyBorder="1" applyAlignment="1">
      <alignment horizontal="right"/>
    </xf>
    <xf numFmtId="3" fontId="12" fillId="2" borderId="0" xfId="4" applyNumberFormat="1" applyFont="1" applyFill="1"/>
    <xf numFmtId="49" fontId="14" fillId="0" borderId="24" xfId="4" applyNumberFormat="1" applyFont="1" applyBorder="1" applyAlignment="1">
      <alignment horizontal="left"/>
    </xf>
    <xf numFmtId="3" fontId="14" fillId="2" borderId="28" xfId="4" applyNumberFormat="1" applyFont="1" applyFill="1" applyBorder="1" applyAlignment="1">
      <alignment horizontal="right"/>
    </xf>
    <xf numFmtId="3" fontId="14" fillId="0" borderId="28" xfId="4" applyNumberFormat="1" applyFont="1" applyFill="1" applyBorder="1" applyAlignment="1">
      <alignment horizontal="right"/>
    </xf>
    <xf numFmtId="3" fontId="14" fillId="2" borderId="29" xfId="4" applyNumberFormat="1" applyFont="1" applyFill="1" applyBorder="1" applyAlignment="1">
      <alignment horizontal="right"/>
    </xf>
    <xf numFmtId="0" fontId="12" fillId="2" borderId="0" xfId="4" applyFont="1" applyFill="1"/>
    <xf numFmtId="0" fontId="5" fillId="0" borderId="0" xfId="5" applyFont="1" applyFill="1" applyBorder="1"/>
    <xf numFmtId="0" fontId="5" fillId="0" borderId="0" xfId="6" applyFont="1" applyBorder="1"/>
    <xf numFmtId="4" fontId="5" fillId="0" borderId="0" xfId="6" applyNumberFormat="1" applyFont="1" applyBorder="1"/>
    <xf numFmtId="0" fontId="5" fillId="0" borderId="0" xfId="6" applyFont="1"/>
    <xf numFmtId="0" fontId="15" fillId="0" borderId="0" xfId="6" applyFont="1" applyAlignment="1">
      <alignment wrapText="1"/>
    </xf>
    <xf numFmtId="0" fontId="15" fillId="0" borderId="0" xfId="6" applyFont="1"/>
    <xf numFmtId="0" fontId="5" fillId="0" borderId="0" xfId="6" applyFont="1" applyAlignment="1">
      <alignment wrapText="1"/>
    </xf>
    <xf numFmtId="0" fontId="12" fillId="0" borderId="0" xfId="4" applyFont="1" applyFill="1"/>
    <xf numFmtId="0" fontId="20" fillId="0" borderId="0" xfId="4" applyFont="1" applyFill="1" applyBorder="1" applyAlignment="1">
      <alignment vertical="center"/>
    </xf>
    <xf numFmtId="49" fontId="20" fillId="0" borderId="0" xfId="4" applyNumberFormat="1" applyFont="1" applyFill="1" applyBorder="1" applyAlignment="1">
      <alignment horizontal="left" vertical="center"/>
    </xf>
    <xf numFmtId="165" fontId="14" fillId="0" borderId="0" xfId="4" applyNumberFormat="1" applyFont="1" applyFill="1" applyBorder="1"/>
    <xf numFmtId="3" fontId="20" fillId="0" borderId="0" xfId="4" applyNumberFormat="1" applyFont="1" applyFill="1" applyBorder="1" applyAlignment="1">
      <alignment horizontal="right" vertical="center"/>
    </xf>
    <xf numFmtId="0" fontId="12" fillId="0" borderId="0" xfId="15" applyFont="1"/>
    <xf numFmtId="0" fontId="25" fillId="0" borderId="7" xfId="6" applyFont="1" applyFill="1" applyBorder="1" applyAlignment="1" applyProtection="1">
      <alignment horizontal="center" vertical="justify"/>
    </xf>
    <xf numFmtId="49" fontId="25" fillId="0" borderId="7" xfId="6" applyNumberFormat="1" applyFont="1" applyFill="1" applyBorder="1" applyAlignment="1" applyProtection="1">
      <alignment horizontal="left" vertical="justify"/>
    </xf>
    <xf numFmtId="0" fontId="25" fillId="0" borderId="9" xfId="6" applyFont="1" applyFill="1" applyBorder="1" applyAlignment="1" applyProtection="1">
      <alignment vertical="justify"/>
    </xf>
    <xf numFmtId="0" fontId="3" fillId="0" borderId="11" xfId="6" applyFont="1" applyFill="1" applyBorder="1" applyAlignment="1" applyProtection="1">
      <alignment horizontal="center" vertical="center" wrapText="1"/>
    </xf>
    <xf numFmtId="49" fontId="3" fillId="0" borderId="11" xfId="6" applyNumberFormat="1" applyFont="1" applyFill="1" applyBorder="1" applyAlignment="1" applyProtection="1">
      <alignment vertical="center" wrapText="1"/>
    </xf>
    <xf numFmtId="49" fontId="3" fillId="0" borderId="11" xfId="6" applyNumberFormat="1" applyFont="1" applyFill="1" applyBorder="1" applyAlignment="1" applyProtection="1">
      <alignment horizontal="center" vertical="center" wrapText="1" shrinkToFit="1"/>
    </xf>
    <xf numFmtId="4" fontId="3" fillId="0" borderId="11" xfId="6" applyNumberFormat="1" applyFont="1" applyFill="1" applyBorder="1" applyAlignment="1" applyProtection="1">
      <alignment vertical="center" wrapText="1"/>
    </xf>
    <xf numFmtId="0" fontId="3" fillId="0" borderId="7" xfId="6" applyNumberFormat="1" applyFont="1" applyFill="1" applyBorder="1" applyAlignment="1" applyProtection="1">
      <alignment vertical="center" wrapText="1"/>
    </xf>
    <xf numFmtId="0" fontId="3" fillId="0" borderId="30" xfId="6" applyNumberFormat="1" applyFont="1" applyFill="1" applyBorder="1" applyAlignment="1" applyProtection="1">
      <alignment vertical="center" wrapText="1"/>
    </xf>
    <xf numFmtId="0" fontId="3" fillId="0" borderId="7" xfId="6" applyFont="1" applyFill="1" applyBorder="1" applyAlignment="1" applyProtection="1">
      <alignment vertical="center" wrapText="1"/>
    </xf>
    <xf numFmtId="0" fontId="12" fillId="4" borderId="0" xfId="4" applyFont="1" applyFill="1"/>
    <xf numFmtId="0" fontId="17" fillId="0" borderId="0" xfId="4" applyFont="1" applyAlignment="1">
      <alignment horizontal="center"/>
    </xf>
    <xf numFmtId="0" fontId="4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4" fillId="0" borderId="26" xfId="4" applyBorder="1" applyAlignment="1"/>
    <xf numFmtId="0" fontId="4" fillId="0" borderId="27" xfId="4" applyBorder="1" applyAlignment="1"/>
    <xf numFmtId="0" fontId="4" fillId="0" borderId="0" xfId="4" applyFont="1" applyAlignment="1">
      <alignment horizontal="left"/>
    </xf>
    <xf numFmtId="0" fontId="26" fillId="0" borderId="0" xfId="0" applyFont="1"/>
    <xf numFmtId="39" fontId="10" fillId="0" borderId="2" xfId="0" applyNumberFormat="1" applyFont="1" applyFill="1" applyBorder="1" applyAlignment="1" applyProtection="1">
      <alignment horizontal="right"/>
    </xf>
    <xf numFmtId="0" fontId="26" fillId="0" borderId="0" xfId="0" applyFont="1" applyAlignment="1" applyProtection="1">
      <alignment horizontal="left" vertical="top"/>
      <protection locked="0"/>
    </xf>
    <xf numFmtId="0" fontId="26" fillId="0" borderId="0" xfId="0" applyFont="1" applyFill="1"/>
    <xf numFmtId="2" fontId="10" fillId="0" borderId="2" xfId="0" applyNumberFormat="1" applyFont="1" applyFill="1" applyBorder="1" applyAlignment="1" applyProtection="1">
      <alignment horizontal="right" wrapText="1"/>
    </xf>
    <xf numFmtId="0" fontId="26" fillId="0" borderId="0" xfId="0" applyFont="1" applyFill="1" applyAlignment="1" applyProtection="1">
      <alignment vertical="top"/>
      <protection locked="0"/>
    </xf>
    <xf numFmtId="0" fontId="12" fillId="0" borderId="0" xfId="15" applyFont="1" applyProtection="1"/>
    <xf numFmtId="4" fontId="14" fillId="0" borderId="0" xfId="15" applyNumberFormat="1" applyFont="1" applyProtection="1"/>
    <xf numFmtId="0" fontId="27" fillId="0" borderId="11" xfId="6" applyFont="1" applyFill="1" applyBorder="1" applyAlignment="1" applyProtection="1">
      <alignment vertical="center" wrapText="1"/>
    </xf>
    <xf numFmtId="49" fontId="3" fillId="0" borderId="7" xfId="6" applyNumberFormat="1" applyFont="1" applyFill="1" applyBorder="1" applyAlignment="1" applyProtection="1">
      <alignment vertical="center" wrapText="1"/>
    </xf>
    <xf numFmtId="49" fontId="3" fillId="0" borderId="11" xfId="6" applyNumberFormat="1" applyFont="1" applyFill="1" applyBorder="1" applyAlignment="1" applyProtection="1">
      <alignment horizontal="left" vertical="center"/>
    </xf>
    <xf numFmtId="0" fontId="3" fillId="0" borderId="11" xfId="6" applyFont="1" applyFill="1" applyBorder="1" applyAlignment="1" applyProtection="1">
      <alignment vertical="center" wrapText="1"/>
    </xf>
    <xf numFmtId="49" fontId="3" fillId="0" borderId="11" xfId="16" applyNumberFormat="1" applyFont="1" applyFill="1" applyBorder="1" applyAlignment="1" applyProtection="1">
      <alignment vertical="center" wrapText="1"/>
    </xf>
    <xf numFmtId="0" fontId="3" fillId="0" borderId="7" xfId="16" applyFont="1" applyFill="1" applyBorder="1" applyAlignment="1" applyProtection="1">
      <alignment vertical="center" wrapText="1"/>
    </xf>
    <xf numFmtId="4" fontId="3" fillId="0" borderId="11" xfId="16" applyNumberFormat="1" applyFont="1" applyFill="1" applyBorder="1" applyAlignment="1" applyProtection="1">
      <alignment vertical="center" wrapText="1"/>
    </xf>
    <xf numFmtId="49" fontId="27" fillId="0" borderId="11" xfId="6" applyNumberFormat="1" applyFont="1" applyFill="1" applyBorder="1" applyAlignment="1" applyProtection="1">
      <alignment horizontal="left" vertical="center"/>
    </xf>
    <xf numFmtId="0" fontId="4" fillId="6" borderId="7" xfId="6" applyFont="1" applyFill="1" applyBorder="1" applyAlignment="1" applyProtection="1">
      <alignment horizontal="center" vertical="justify"/>
    </xf>
    <xf numFmtId="49" fontId="24" fillId="3" borderId="7" xfId="6" applyNumberFormat="1" applyFont="1" applyFill="1" applyBorder="1" applyAlignment="1" applyProtection="1">
      <alignment horizontal="left" vertical="justify"/>
    </xf>
    <xf numFmtId="0" fontId="24" fillId="3" borderId="9" xfId="6" applyFont="1" applyFill="1" applyBorder="1" applyAlignment="1" applyProtection="1">
      <alignment vertical="justify"/>
    </xf>
    <xf numFmtId="0" fontId="4" fillId="3" borderId="10" xfId="6" applyFont="1" applyFill="1" applyBorder="1" applyAlignment="1" applyProtection="1">
      <alignment horizontal="center" vertical="justify"/>
    </xf>
    <xf numFmtId="4" fontId="4" fillId="3" borderId="10" xfId="6" applyNumberFormat="1" applyFont="1" applyFill="1" applyBorder="1" applyAlignment="1" applyProtection="1">
      <alignment horizontal="right" vertical="justify"/>
    </xf>
    <xf numFmtId="4" fontId="4" fillId="3" borderId="8" xfId="6" applyNumberFormat="1" applyFont="1" applyFill="1" applyBorder="1" applyAlignment="1" applyProtection="1">
      <alignment horizontal="right" vertical="justify"/>
    </xf>
    <xf numFmtId="4" fontId="25" fillId="3" borderId="7" xfId="6" applyNumberFormat="1" applyFont="1" applyFill="1" applyBorder="1" applyAlignment="1" applyProtection="1">
      <alignment vertical="justify"/>
    </xf>
    <xf numFmtId="0" fontId="16" fillId="0" borderId="0" xfId="3" applyFill="1"/>
    <xf numFmtId="0" fontId="0" fillId="0" borderId="0" xfId="0" applyFill="1" applyAlignment="1" applyProtection="1">
      <alignment horizontal="right"/>
    </xf>
    <xf numFmtId="0" fontId="5" fillId="0" borderId="1" xfId="0" applyFont="1" applyFill="1" applyBorder="1" applyAlignment="1" applyProtection="1">
      <alignment horizontal="right" wrapText="1"/>
    </xf>
    <xf numFmtId="0" fontId="5" fillId="0" borderId="0" xfId="2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49" fontId="3" fillId="0" borderId="2" xfId="0" applyNumberFormat="1" applyFont="1" applyFill="1" applyBorder="1" applyAlignment="1" applyProtection="1">
      <alignment horizontal="center" wrapText="1"/>
    </xf>
    <xf numFmtId="0" fontId="14" fillId="0" borderId="25" xfId="4" applyFont="1" applyBorder="1" applyAlignment="1">
      <alignment horizontal="left"/>
    </xf>
    <xf numFmtId="0" fontId="12" fillId="7" borderId="0" xfId="4" applyFont="1" applyFill="1"/>
    <xf numFmtId="0" fontId="19" fillId="7" borderId="9" xfId="4" applyFont="1" applyFill="1" applyBorder="1" applyAlignment="1">
      <alignment vertical="center"/>
    </xf>
    <xf numFmtId="0" fontId="13" fillId="7" borderId="10" xfId="4" applyFont="1" applyFill="1" applyBorder="1" applyAlignment="1">
      <alignment vertical="center"/>
    </xf>
    <xf numFmtId="0" fontId="12" fillId="7" borderId="10" xfId="4" applyFont="1" applyFill="1" applyBorder="1" applyAlignment="1">
      <alignment vertical="center"/>
    </xf>
    <xf numFmtId="4" fontId="19" fillId="7" borderId="20" xfId="4" applyNumberFormat="1" applyFont="1" applyFill="1" applyBorder="1" applyAlignment="1">
      <alignment horizontal="right" vertical="center"/>
    </xf>
    <xf numFmtId="4" fontId="19" fillId="7" borderId="21" xfId="4" applyNumberFormat="1" applyFont="1" applyFill="1" applyBorder="1" applyAlignment="1">
      <alignment horizontal="right" vertical="center"/>
    </xf>
    <xf numFmtId="3" fontId="19" fillId="7" borderId="22" xfId="4" applyNumberFormat="1" applyFont="1" applyFill="1" applyBorder="1" applyAlignment="1">
      <alignment horizontal="right" vertical="center"/>
    </xf>
    <xf numFmtId="0" fontId="20" fillId="7" borderId="9" xfId="4" applyFont="1" applyFill="1" applyBorder="1" applyAlignment="1">
      <alignment vertical="center"/>
    </xf>
    <xf numFmtId="49" fontId="20" fillId="7" borderId="10" xfId="4" applyNumberFormat="1" applyFont="1" applyFill="1" applyBorder="1" applyAlignment="1">
      <alignment horizontal="left" vertical="center"/>
    </xf>
    <xf numFmtId="0" fontId="20" fillId="7" borderId="10" xfId="4" applyFont="1" applyFill="1" applyBorder="1" applyAlignment="1">
      <alignment vertical="center"/>
    </xf>
    <xf numFmtId="165" fontId="14" fillId="7" borderId="8" xfId="4" applyNumberFormat="1" applyFont="1" applyFill="1" applyBorder="1"/>
    <xf numFmtId="3" fontId="20" fillId="7" borderId="7" xfId="4" applyNumberFormat="1" applyFont="1" applyFill="1" applyBorder="1" applyAlignment="1">
      <alignment horizontal="right" vertical="center"/>
    </xf>
    <xf numFmtId="0" fontId="6" fillId="7" borderId="3" xfId="0" applyFont="1" applyFill="1" applyBorder="1" applyAlignment="1" applyProtection="1">
      <alignment horizontal="left"/>
    </xf>
    <xf numFmtId="0" fontId="8" fillId="7" borderId="4" xfId="0" applyFont="1" applyFill="1" applyBorder="1" applyAlignment="1" applyProtection="1">
      <alignment horizontal="center"/>
    </xf>
    <xf numFmtId="164" fontId="8" fillId="7" borderId="4" xfId="0" applyNumberFormat="1" applyFont="1" applyFill="1" applyBorder="1" applyAlignment="1" applyProtection="1">
      <alignment horizontal="right"/>
    </xf>
    <xf numFmtId="39" fontId="8" fillId="7" borderId="4" xfId="0" applyNumberFormat="1" applyFont="1" applyFill="1" applyBorder="1" applyAlignment="1" applyProtection="1">
      <alignment horizontal="right"/>
    </xf>
    <xf numFmtId="39" fontId="6" fillId="7" borderId="1" xfId="0" applyNumberFormat="1" applyFont="1" applyFill="1" applyBorder="1" applyAlignment="1" applyProtection="1">
      <alignment horizontal="right"/>
    </xf>
    <xf numFmtId="0" fontId="30" fillId="0" borderId="2" xfId="0" applyFont="1" applyFill="1" applyBorder="1" applyAlignment="1" applyProtection="1">
      <alignment horizontal="left" wrapText="1"/>
    </xf>
    <xf numFmtId="2" fontId="30" fillId="0" borderId="2" xfId="0" applyNumberFormat="1" applyFont="1" applyFill="1" applyBorder="1" applyAlignment="1" applyProtection="1">
      <alignment horizontal="right"/>
    </xf>
    <xf numFmtId="39" fontId="30" fillId="0" borderId="2" xfId="0" applyNumberFormat="1" applyFont="1" applyFill="1" applyBorder="1" applyAlignment="1" applyProtection="1">
      <alignment horizontal="right"/>
    </xf>
    <xf numFmtId="0" fontId="31" fillId="0" borderId="0" xfId="0" applyFont="1"/>
    <xf numFmtId="0" fontId="31" fillId="0" borderId="0" xfId="0" applyFont="1" applyAlignment="1" applyProtection="1">
      <alignment horizontal="left" vertical="top"/>
      <protection locked="0"/>
    </xf>
    <xf numFmtId="0" fontId="3" fillId="0" borderId="2" xfId="3" applyNumberFormat="1" applyFont="1" applyFill="1" applyBorder="1" applyAlignment="1" applyProtection="1">
      <alignment horizontal="left" wrapText="1"/>
    </xf>
    <xf numFmtId="0" fontId="3" fillId="0" borderId="2" xfId="3" applyFont="1" applyFill="1" applyBorder="1" applyAlignment="1" applyProtection="1">
      <alignment horizontal="left" wrapText="1"/>
    </xf>
    <xf numFmtId="2" fontId="3" fillId="0" borderId="2" xfId="3" applyNumberFormat="1" applyFont="1" applyFill="1" applyBorder="1" applyAlignment="1" applyProtection="1">
      <alignment horizontal="right"/>
    </xf>
    <xf numFmtId="0" fontId="16" fillId="0" borderId="0" xfId="3" applyFill="1" applyAlignment="1" applyProtection="1">
      <alignment horizontal="left" vertical="top"/>
      <protection locked="0"/>
    </xf>
    <xf numFmtId="0" fontId="16" fillId="0" borderId="0" xfId="3" applyAlignment="1" applyProtection="1">
      <alignment horizontal="left" vertical="top"/>
      <protection locked="0"/>
    </xf>
    <xf numFmtId="0" fontId="16" fillId="0" borderId="0" xfId="3"/>
    <xf numFmtId="0" fontId="11" fillId="0" borderId="2" xfId="3" applyFont="1" applyFill="1" applyBorder="1" applyAlignment="1" applyProtection="1">
      <alignment horizontal="left" vertical="center" wrapText="1"/>
    </xf>
    <xf numFmtId="0" fontId="10" fillId="0" borderId="2" xfId="3" applyFont="1" applyFill="1" applyBorder="1" applyAlignment="1" applyProtection="1">
      <alignment horizontal="left" wrapText="1"/>
    </xf>
    <xf numFmtId="2" fontId="10" fillId="0" borderId="2" xfId="3" applyNumberFormat="1" applyFont="1" applyFill="1" applyBorder="1" applyAlignment="1" applyProtection="1">
      <alignment horizontal="right"/>
    </xf>
    <xf numFmtId="166" fontId="16" fillId="0" borderId="0" xfId="3" applyNumberFormat="1" applyFill="1" applyAlignment="1" applyProtection="1">
      <alignment horizontal="left" vertical="top"/>
      <protection locked="0"/>
    </xf>
    <xf numFmtId="0" fontId="16" fillId="0" borderId="0" xfId="3" applyAlignment="1" applyProtection="1">
      <alignment horizontal="left" vertical="center"/>
      <protection locked="0"/>
    </xf>
    <xf numFmtId="0" fontId="16" fillId="0" borderId="0" xfId="3" applyFill="1" applyAlignment="1" applyProtection="1">
      <alignment vertical="top"/>
      <protection locked="0"/>
    </xf>
    <xf numFmtId="0" fontId="16" fillId="0" borderId="0" xfId="3" applyAlignment="1" applyProtection="1">
      <alignment vertical="top"/>
      <protection locked="0"/>
    </xf>
    <xf numFmtId="37" fontId="3" fillId="0" borderId="2" xfId="0" applyNumberFormat="1" applyFont="1" applyFill="1" applyBorder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"/>
    </xf>
    <xf numFmtId="37" fontId="30" fillId="0" borderId="2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center"/>
    </xf>
    <xf numFmtId="39" fontId="3" fillId="0" borderId="2" xfId="0" applyNumberFormat="1" applyFont="1" applyFill="1" applyBorder="1" applyAlignment="1" applyProtection="1"/>
    <xf numFmtId="0" fontId="31" fillId="0" borderId="0" xfId="0" applyFont="1" applyFill="1" applyAlignment="1" applyProtection="1">
      <alignment vertical="top"/>
      <protection locked="0"/>
    </xf>
    <xf numFmtId="49" fontId="30" fillId="0" borderId="2" xfId="0" applyNumberFormat="1" applyFont="1" applyFill="1" applyBorder="1" applyAlignment="1" applyProtection="1">
      <alignment horizontal="center" wrapText="1"/>
    </xf>
    <xf numFmtId="49" fontId="30" fillId="0" borderId="2" xfId="0" applyNumberFormat="1" applyFont="1" applyFill="1" applyBorder="1" applyAlignment="1" applyProtection="1">
      <alignment horizontal="left" wrapText="1"/>
    </xf>
    <xf numFmtId="0" fontId="29" fillId="0" borderId="0" xfId="22"/>
    <xf numFmtId="0" fontId="43" fillId="0" borderId="0" xfId="22" applyFont="1"/>
    <xf numFmtId="0" fontId="45" fillId="0" borderId="0" xfId="22" applyFont="1" applyAlignment="1">
      <alignment vertical="center"/>
    </xf>
    <xf numFmtId="0" fontId="46" fillId="0" borderId="0" xfId="22" applyFont="1" applyAlignment="1">
      <alignment vertical="center"/>
    </xf>
    <xf numFmtId="0" fontId="47" fillId="0" borderId="0" xfId="22" applyFont="1" applyAlignment="1">
      <alignment horizontal="center" vertical="center" wrapText="1"/>
    </xf>
    <xf numFmtId="0" fontId="48" fillId="0" borderId="0" xfId="22" applyFont="1" applyAlignment="1">
      <alignment horizontal="center" vertical="center" wrapText="1"/>
    </xf>
    <xf numFmtId="0" fontId="24" fillId="0" borderId="0" xfId="22" applyFont="1"/>
    <xf numFmtId="0" fontId="29" fillId="0" borderId="0" xfId="22" applyAlignment="1">
      <alignment horizontal="center"/>
    </xf>
    <xf numFmtId="0" fontId="3" fillId="0" borderId="0" xfId="22" applyFont="1" applyAlignment="1">
      <alignment horizontal="center" vertical="center"/>
    </xf>
    <xf numFmtId="0" fontId="29" fillId="0" borderId="0" xfId="22" applyAlignment="1">
      <alignment vertical="center"/>
    </xf>
    <xf numFmtId="0" fontId="4" fillId="0" borderId="0" xfId="22" applyFont="1" applyAlignment="1">
      <alignment vertical="center"/>
    </xf>
    <xf numFmtId="0" fontId="29" fillId="0" borderId="0" xfId="22" applyAlignment="1">
      <alignment horizontal="center" vertical="center"/>
    </xf>
    <xf numFmtId="4" fontId="29" fillId="0" borderId="0" xfId="22" applyNumberFormat="1" applyAlignment="1">
      <alignment vertical="center"/>
    </xf>
    <xf numFmtId="0" fontId="49" fillId="0" borderId="0" xfId="22" applyFont="1" applyAlignment="1">
      <alignment horizontal="center" vertical="center"/>
    </xf>
    <xf numFmtId="0" fontId="4" fillId="0" borderId="0" xfId="22" applyFont="1" applyAlignment="1">
      <alignment vertical="center" wrapText="1"/>
    </xf>
    <xf numFmtId="3" fontId="51" fillId="0" borderId="0" xfId="22" applyNumberFormat="1" applyFont="1" applyBorder="1" applyAlignment="1">
      <alignment horizontal="right"/>
    </xf>
    <xf numFmtId="3" fontId="29" fillId="0" borderId="0" xfId="22" applyNumberFormat="1"/>
    <xf numFmtId="0" fontId="4" fillId="0" borderId="0" xfId="22" applyFont="1"/>
    <xf numFmtId="3" fontId="46" fillId="0" borderId="0" xfId="22" applyNumberFormat="1" applyFont="1" applyBorder="1" applyAlignment="1">
      <alignment horizontal="center"/>
    </xf>
    <xf numFmtId="49" fontId="45" fillId="0" borderId="0" xfId="22" applyNumberFormat="1" applyFont="1" applyAlignment="1">
      <alignment horizontal="left"/>
    </xf>
    <xf numFmtId="0" fontId="45" fillId="0" borderId="0" xfId="22" applyFont="1" applyAlignment="1">
      <alignment horizontal="left"/>
    </xf>
    <xf numFmtId="0" fontId="45" fillId="0" borderId="0" xfId="22" applyFont="1" applyAlignment="1"/>
    <xf numFmtId="3" fontId="45" fillId="0" borderId="0" xfId="22" applyNumberFormat="1" applyFont="1" applyBorder="1" applyAlignment="1">
      <alignment horizontal="right" vertical="top"/>
    </xf>
    <xf numFmtId="0" fontId="45" fillId="0" borderId="0" xfId="22" applyFont="1" applyAlignment="1">
      <alignment horizontal="right" vertical="top"/>
    </xf>
    <xf numFmtId="0" fontId="4" fillId="0" borderId="0" xfId="22" applyFont="1" applyAlignment="1">
      <alignment horizontal="right" vertical="top"/>
    </xf>
    <xf numFmtId="0" fontId="44" fillId="0" borderId="0" xfId="22" applyFont="1" applyAlignment="1">
      <alignment horizontal="left"/>
    </xf>
    <xf numFmtId="0" fontId="44" fillId="0" borderId="0" xfId="22" applyFont="1" applyAlignment="1"/>
    <xf numFmtId="49" fontId="51" fillId="0" borderId="0" xfId="22" applyNumberFormat="1" applyFont="1" applyAlignment="1">
      <alignment horizontal="left"/>
    </xf>
    <xf numFmtId="0" fontId="52" fillId="0" borderId="0" xfId="22" applyFont="1" applyAlignment="1"/>
    <xf numFmtId="0" fontId="50" fillId="0" borderId="0" xfId="22" applyFont="1" applyAlignment="1">
      <alignment horizontal="justify"/>
    </xf>
    <xf numFmtId="49" fontId="14" fillId="0" borderId="24" xfId="4" applyNumberFormat="1" applyFont="1" applyFill="1" applyBorder="1" applyAlignment="1">
      <alignment horizontal="left"/>
    </xf>
    <xf numFmtId="0" fontId="14" fillId="0" borderId="25" xfId="4" applyFont="1" applyFill="1" applyBorder="1" applyAlignment="1">
      <alignment horizontal="left"/>
    </xf>
    <xf numFmtId="0" fontId="4" fillId="0" borderId="26" xfId="4" applyFill="1" applyBorder="1" applyAlignment="1"/>
    <xf numFmtId="0" fontId="4" fillId="0" borderId="27" xfId="4" applyFill="1" applyBorder="1" applyAlignment="1"/>
    <xf numFmtId="3" fontId="14" fillId="0" borderId="29" xfId="4" applyNumberFormat="1" applyFont="1" applyFill="1" applyBorder="1" applyAlignment="1">
      <alignment horizontal="right"/>
    </xf>
    <xf numFmtId="0" fontId="3" fillId="0" borderId="0" xfId="22" applyFont="1"/>
    <xf numFmtId="0" fontId="3" fillId="0" borderId="0" xfId="22" applyFont="1" applyAlignment="1">
      <alignment wrapText="1"/>
    </xf>
    <xf numFmtId="2" fontId="3" fillId="0" borderId="0" xfId="22" applyNumberFormat="1" applyFont="1"/>
    <xf numFmtId="0" fontId="3" fillId="4" borderId="0" xfId="22" applyFont="1" applyFill="1"/>
    <xf numFmtId="0" fontId="3" fillId="4" borderId="0" xfId="22" applyFont="1" applyFill="1" applyAlignment="1">
      <alignment wrapText="1"/>
    </xf>
    <xf numFmtId="2" fontId="3" fillId="4" borderId="0" xfId="22" applyNumberFormat="1" applyFont="1" applyFill="1"/>
    <xf numFmtId="0" fontId="3" fillId="8" borderId="0" xfId="22" applyFont="1" applyFill="1"/>
    <xf numFmtId="0" fontId="3" fillId="8" borderId="0" xfId="22" applyFont="1" applyFill="1" applyAlignment="1">
      <alignment wrapText="1"/>
    </xf>
    <xf numFmtId="2" fontId="3" fillId="9" borderId="0" xfId="22" applyNumberFormat="1" applyFont="1" applyFill="1"/>
    <xf numFmtId="0" fontId="23" fillId="0" borderId="0" xfId="25"/>
    <xf numFmtId="0" fontId="12" fillId="10" borderId="0" xfId="25" applyFont="1" applyFill="1" applyBorder="1"/>
    <xf numFmtId="0" fontId="23" fillId="10" borderId="0" xfId="25" applyFill="1" applyBorder="1"/>
    <xf numFmtId="0" fontId="23" fillId="10" borderId="0" xfId="25" applyFill="1"/>
    <xf numFmtId="0" fontId="23" fillId="0" borderId="0" xfId="25" applyBorder="1"/>
    <xf numFmtId="0" fontId="23" fillId="0" borderId="34" xfId="25" applyBorder="1"/>
    <xf numFmtId="0" fontId="23" fillId="11" borderId="34" xfId="25" applyFill="1" applyBorder="1"/>
    <xf numFmtId="0" fontId="23" fillId="0" borderId="35" xfId="25" applyBorder="1"/>
    <xf numFmtId="0" fontId="23" fillId="0" borderId="35" xfId="25" applyBorder="1" applyAlignment="1">
      <alignment horizontal="center"/>
    </xf>
    <xf numFmtId="0" fontId="23" fillId="0" borderId="20" xfId="25" applyBorder="1"/>
    <xf numFmtId="0" fontId="23" fillId="0" borderId="36" xfId="25" applyBorder="1"/>
    <xf numFmtId="0" fontId="23" fillId="0" borderId="22" xfId="25" applyBorder="1"/>
    <xf numFmtId="0" fontId="23" fillId="11" borderId="36" xfId="25" applyFill="1" applyBorder="1"/>
    <xf numFmtId="0" fontId="23" fillId="0" borderId="0" xfId="25" applyBorder="1" applyAlignment="1">
      <alignment horizontal="center"/>
    </xf>
    <xf numFmtId="0" fontId="23" fillId="0" borderId="0" xfId="25" applyFill="1" applyBorder="1"/>
    <xf numFmtId="14" fontId="12" fillId="0" borderId="0" xfId="25" applyNumberFormat="1" applyFont="1" applyFill="1" applyBorder="1"/>
    <xf numFmtId="0" fontId="54" fillId="0" borderId="0" xfId="25" applyFont="1" applyFill="1" applyBorder="1" applyAlignment="1">
      <alignment horizontal="center"/>
    </xf>
    <xf numFmtId="0" fontId="12" fillId="0" borderId="0" xfId="25" applyFont="1" applyFill="1" applyBorder="1"/>
    <xf numFmtId="0" fontId="12" fillId="0" borderId="0" xfId="25" applyFont="1" applyFill="1" applyBorder="1" applyAlignment="1">
      <alignment horizontal="left"/>
    </xf>
    <xf numFmtId="9" fontId="23" fillId="0" borderId="0" xfId="25" applyNumberFormat="1" applyBorder="1"/>
    <xf numFmtId="0" fontId="12" fillId="0" borderId="0" xfId="25" applyFont="1"/>
    <xf numFmtId="0" fontId="23" fillId="0" borderId="0" xfId="25" applyFont="1" applyFill="1" applyBorder="1"/>
    <xf numFmtId="0" fontId="12" fillId="0" borderId="0" xfId="25" applyFont="1" applyBorder="1"/>
    <xf numFmtId="9" fontId="23" fillId="0" borderId="0" xfId="25" applyNumberFormat="1" applyFill="1" applyBorder="1"/>
    <xf numFmtId="0" fontId="54" fillId="12" borderId="0" xfId="25" applyFont="1" applyFill="1"/>
    <xf numFmtId="0" fontId="54" fillId="12" borderId="0" xfId="25" applyFont="1" applyFill="1" applyBorder="1"/>
    <xf numFmtId="0" fontId="54" fillId="8" borderId="0" xfId="25" applyFont="1" applyFill="1"/>
    <xf numFmtId="0" fontId="29" fillId="0" borderId="0" xfId="25" applyFont="1" applyProtection="1">
      <protection locked="0"/>
    </xf>
    <xf numFmtId="0" fontId="35" fillId="0" borderId="0" xfId="25" applyFont="1" applyProtection="1">
      <protection locked="0"/>
    </xf>
    <xf numFmtId="2" fontId="35" fillId="0" borderId="0" xfId="25" applyNumberFormat="1" applyFont="1" applyProtection="1">
      <protection locked="0"/>
    </xf>
    <xf numFmtId="2" fontId="35" fillId="0" borderId="0" xfId="25" applyNumberFormat="1" applyFont="1" applyAlignment="1" applyProtection="1">
      <alignment horizontal="right"/>
      <protection locked="0"/>
    </xf>
    <xf numFmtId="2" fontId="34" fillId="0" borderId="10" xfId="25" applyNumberFormat="1" applyFont="1" applyBorder="1" applyProtection="1">
      <protection locked="0"/>
    </xf>
    <xf numFmtId="2" fontId="35" fillId="0" borderId="0" xfId="25" applyNumberFormat="1" applyFont="1" applyAlignment="1" applyProtection="1">
      <alignment vertical="top"/>
      <protection locked="0"/>
    </xf>
    <xf numFmtId="2" fontId="35" fillId="0" borderId="0" xfId="25" applyNumberFormat="1" applyFont="1" applyAlignment="1" applyProtection="1">
      <protection locked="0"/>
    </xf>
    <xf numFmtId="2" fontId="29" fillId="0" borderId="0" xfId="25" applyNumberFormat="1" applyFont="1" applyProtection="1">
      <protection locked="0"/>
    </xf>
    <xf numFmtId="0" fontId="35" fillId="0" borderId="0" xfId="25" applyFont="1" applyAlignment="1" applyProtection="1">
      <alignment wrapText="1"/>
      <protection locked="0"/>
    </xf>
    <xf numFmtId="2" fontId="35" fillId="0" borderId="0" xfId="25" applyNumberFormat="1" applyFont="1" applyAlignment="1" applyProtection="1">
      <alignment wrapText="1"/>
      <protection locked="0"/>
    </xf>
    <xf numFmtId="2" fontId="35" fillId="0" borderId="0" xfId="25" applyNumberFormat="1" applyFont="1" applyAlignment="1" applyProtection="1">
      <alignment horizontal="right" wrapText="1"/>
      <protection locked="0"/>
    </xf>
    <xf numFmtId="0" fontId="37" fillId="0" borderId="0" xfId="25" applyFont="1" applyProtection="1">
      <protection locked="0"/>
    </xf>
    <xf numFmtId="2" fontId="5" fillId="0" borderId="0" xfId="25" applyNumberFormat="1" applyFont="1" applyProtection="1">
      <protection locked="0"/>
    </xf>
    <xf numFmtId="2" fontId="35" fillId="0" borderId="10" xfId="25" applyNumberFormat="1" applyFont="1" applyBorder="1" applyAlignment="1" applyProtection="1">
      <alignment wrapText="1"/>
      <protection locked="0"/>
    </xf>
    <xf numFmtId="0" fontId="29" fillId="0" borderId="0" xfId="25" applyFont="1" applyAlignment="1" applyProtection="1">
      <alignment wrapText="1"/>
      <protection locked="0"/>
    </xf>
    <xf numFmtId="2" fontId="35" fillId="0" borderId="0" xfId="25" applyNumberFormat="1" applyFont="1" applyAlignment="1" applyProtection="1">
      <alignment vertical="top" wrapText="1"/>
      <protection locked="0"/>
    </xf>
    <xf numFmtId="2" fontId="35" fillId="0" borderId="10" xfId="25" applyNumberFormat="1" applyFont="1" applyBorder="1" applyProtection="1">
      <protection locked="0"/>
    </xf>
    <xf numFmtId="0" fontId="37" fillId="0" borderId="0" xfId="25" applyFont="1" applyAlignment="1" applyProtection="1">
      <alignment wrapText="1"/>
      <protection locked="0"/>
    </xf>
    <xf numFmtId="0" fontId="40" fillId="0" borderId="0" xfId="25" applyFont="1" applyAlignment="1" applyProtection="1">
      <alignment wrapText="1"/>
      <protection locked="0"/>
    </xf>
    <xf numFmtId="0" fontId="30" fillId="0" borderId="0" xfId="25" applyFont="1" applyProtection="1">
      <protection locked="0"/>
    </xf>
    <xf numFmtId="0" fontId="42" fillId="0" borderId="0" xfId="25" applyFont="1" applyProtection="1">
      <protection locked="0"/>
    </xf>
    <xf numFmtId="2" fontId="34" fillId="0" borderId="10" xfId="25" applyNumberFormat="1" applyFont="1" applyBorder="1" applyAlignment="1" applyProtection="1">
      <alignment wrapText="1"/>
      <protection locked="0"/>
    </xf>
    <xf numFmtId="0" fontId="29" fillId="0" borderId="0" xfId="22" applyAlignment="1">
      <alignment wrapText="1"/>
    </xf>
    <xf numFmtId="0" fontId="43" fillId="0" borderId="0" xfId="22" applyFont="1" applyAlignment="1">
      <alignment vertical="center"/>
    </xf>
    <xf numFmtId="3" fontId="51" fillId="0" borderId="0" xfId="22" applyNumberFormat="1" applyFont="1" applyBorder="1" applyAlignment="1">
      <alignment horizontal="right" vertical="center"/>
    </xf>
    <xf numFmtId="4" fontId="29" fillId="0" borderId="0" xfId="22" applyNumberFormat="1"/>
    <xf numFmtId="2" fontId="3" fillId="8" borderId="0" xfId="22" applyNumberFormat="1" applyFont="1" applyFill="1"/>
    <xf numFmtId="37" fontId="11" fillId="0" borderId="2" xfId="3" applyNumberFormat="1" applyFont="1" applyFill="1" applyBorder="1" applyAlignment="1" applyProtection="1">
      <alignment horizontal="center"/>
    </xf>
    <xf numFmtId="0" fontId="11" fillId="0" borderId="2" xfId="3" applyFont="1" applyFill="1" applyBorder="1" applyAlignment="1" applyProtection="1">
      <alignment horizontal="left" wrapText="1"/>
    </xf>
    <xf numFmtId="39" fontId="3" fillId="0" borderId="2" xfId="3" applyNumberFormat="1" applyFont="1" applyFill="1" applyBorder="1" applyAlignment="1" applyProtection="1">
      <alignment horizontal="center"/>
    </xf>
    <xf numFmtId="39" fontId="6" fillId="0" borderId="2" xfId="0" applyNumberFormat="1" applyFont="1" applyFill="1" applyBorder="1" applyAlignment="1" applyProtection="1">
      <alignment horizontal="right"/>
      <protection locked="0"/>
    </xf>
    <xf numFmtId="39" fontId="3" fillId="0" borderId="2" xfId="0" applyNumberFormat="1" applyFont="1" applyFill="1" applyBorder="1" applyAlignment="1" applyProtection="1">
      <alignment horizontal="right"/>
      <protection locked="0"/>
    </xf>
    <xf numFmtId="39" fontId="30" fillId="0" borderId="2" xfId="0" applyNumberFormat="1" applyFont="1" applyFill="1" applyBorder="1" applyAlignment="1" applyProtection="1">
      <alignment horizontal="right"/>
      <protection locked="0"/>
    </xf>
    <xf numFmtId="39" fontId="3" fillId="0" borderId="2" xfId="0" applyNumberFormat="1" applyFont="1" applyFill="1" applyBorder="1" applyAlignment="1" applyProtection="1">
      <protection locked="0"/>
    </xf>
    <xf numFmtId="39" fontId="6" fillId="0" borderId="2" xfId="0" applyNumberFormat="1" applyFont="1" applyFill="1" applyBorder="1" applyAlignment="1" applyProtection="1">
      <protection locked="0"/>
    </xf>
    <xf numFmtId="39" fontId="6" fillId="0" borderId="6" xfId="0" applyNumberFormat="1" applyFont="1" applyFill="1" applyBorder="1" applyAlignment="1" applyProtection="1">
      <alignment horizontal="right"/>
      <protection locked="0"/>
    </xf>
    <xf numFmtId="39" fontId="10" fillId="0" borderId="2" xfId="0" applyNumberFormat="1" applyFont="1" applyFill="1" applyBorder="1" applyAlignment="1" applyProtection="1">
      <alignment horizontal="right"/>
      <protection locked="0"/>
    </xf>
    <xf numFmtId="39" fontId="11" fillId="0" borderId="2" xfId="3" applyNumberFormat="1" applyFont="1" applyFill="1" applyBorder="1" applyAlignment="1" applyProtection="1">
      <alignment horizontal="center"/>
      <protection locked="0"/>
    </xf>
    <xf numFmtId="4" fontId="3" fillId="0" borderId="11" xfId="6" applyNumberFormat="1" applyFont="1" applyFill="1" applyBorder="1" applyAlignment="1" applyProtection="1">
      <alignment vertical="center" wrapText="1"/>
      <protection locked="0"/>
    </xf>
    <xf numFmtId="4" fontId="3" fillId="0" borderId="11" xfId="16" applyNumberFormat="1" applyFont="1" applyFill="1" applyBorder="1" applyAlignment="1" applyProtection="1">
      <alignment vertical="center" wrapText="1"/>
      <protection locked="0"/>
    </xf>
    <xf numFmtId="4" fontId="3" fillId="7" borderId="11" xfId="6" applyNumberFormat="1" applyFont="1" applyFill="1" applyBorder="1" applyAlignment="1" applyProtection="1">
      <alignment vertical="center" wrapText="1"/>
      <protection locked="0"/>
    </xf>
    <xf numFmtId="0" fontId="23" fillId="0" borderId="0" xfId="25" applyProtection="1">
      <protection locked="0"/>
    </xf>
    <xf numFmtId="2" fontId="3" fillId="0" borderId="0" xfId="22" applyNumberFormat="1" applyFont="1" applyProtection="1">
      <protection locked="0"/>
    </xf>
    <xf numFmtId="0" fontId="3" fillId="0" borderId="0" xfId="22" applyFont="1" applyProtection="1"/>
    <xf numFmtId="0" fontId="3" fillId="0" borderId="0" xfId="22" applyFont="1" applyAlignment="1" applyProtection="1">
      <alignment wrapText="1"/>
    </xf>
    <xf numFmtId="2" fontId="3" fillId="0" borderId="0" xfId="22" applyNumberFormat="1" applyFont="1" applyProtection="1"/>
    <xf numFmtId="0" fontId="3" fillId="4" borderId="0" xfId="22" applyFont="1" applyFill="1" applyProtection="1"/>
    <xf numFmtId="0" fontId="3" fillId="4" borderId="0" xfId="22" applyFont="1" applyFill="1" applyAlignment="1" applyProtection="1">
      <alignment wrapText="1"/>
    </xf>
    <xf numFmtId="2" fontId="3" fillId="4" borderId="0" xfId="22" applyNumberFormat="1" applyFont="1" applyFill="1" applyProtection="1"/>
    <xf numFmtId="0" fontId="3" fillId="8" borderId="0" xfId="22" applyFont="1" applyFill="1" applyProtection="1"/>
    <xf numFmtId="0" fontId="3" fillId="8" borderId="0" xfId="22" applyFont="1" applyFill="1" applyAlignment="1" applyProtection="1">
      <alignment wrapText="1"/>
    </xf>
    <xf numFmtId="2" fontId="3" fillId="8" borderId="0" xfId="22" applyNumberFormat="1" applyFont="1" applyFill="1" applyProtection="1"/>
    <xf numFmtId="4" fontId="29" fillId="0" borderId="0" xfId="22" applyNumberFormat="1" applyAlignment="1" applyProtection="1">
      <alignment vertical="center"/>
      <protection locked="0"/>
    </xf>
    <xf numFmtId="0" fontId="34" fillId="8" borderId="9" xfId="25" applyFont="1" applyFill="1" applyBorder="1" applyProtection="1"/>
    <xf numFmtId="0" fontId="34" fillId="8" borderId="10" xfId="25" applyFont="1" applyFill="1" applyBorder="1" applyProtection="1"/>
    <xf numFmtId="0" fontId="35" fillId="8" borderId="10" xfId="25" applyFont="1" applyFill="1" applyBorder="1" applyProtection="1"/>
    <xf numFmtId="2" fontId="35" fillId="8" borderId="10" xfId="25" applyNumberFormat="1" applyFont="1" applyFill="1" applyBorder="1" applyProtection="1"/>
    <xf numFmtId="2" fontId="35" fillId="8" borderId="8" xfId="25" applyNumberFormat="1" applyFont="1" applyFill="1" applyBorder="1" applyProtection="1"/>
    <xf numFmtId="0" fontId="29" fillId="0" borderId="0" xfId="25" applyFont="1" applyProtection="1"/>
    <xf numFmtId="0" fontId="34" fillId="0" borderId="0" xfId="25" applyFont="1" applyProtection="1"/>
    <xf numFmtId="0" fontId="35" fillId="0" borderId="0" xfId="25" applyFont="1" applyProtection="1"/>
    <xf numFmtId="2" fontId="35" fillId="0" borderId="0" xfId="25" applyNumberFormat="1" applyFont="1" applyProtection="1"/>
    <xf numFmtId="0" fontId="35" fillId="0" borderId="0" xfId="25" applyFont="1" applyAlignment="1" applyProtection="1">
      <alignment horizontal="left"/>
    </xf>
    <xf numFmtId="0" fontId="35" fillId="0" borderId="0" xfId="25" applyFont="1" applyAlignment="1" applyProtection="1">
      <alignment horizontal="right"/>
    </xf>
    <xf numFmtId="2" fontId="35" fillId="0" borderId="0" xfId="25" applyNumberFormat="1" applyFont="1" applyAlignment="1" applyProtection="1">
      <alignment horizontal="right"/>
    </xf>
    <xf numFmtId="0" fontId="34" fillId="0" borderId="9" xfId="25" applyFont="1" applyBorder="1" applyProtection="1"/>
    <xf numFmtId="0" fontId="34" fillId="0" borderId="10" xfId="25" applyFont="1" applyBorder="1" applyProtection="1"/>
    <xf numFmtId="0" fontId="34" fillId="0" borderId="10" xfId="25" applyFont="1" applyBorder="1" applyAlignment="1" applyProtection="1">
      <alignment horizontal="right"/>
    </xf>
    <xf numFmtId="2" fontId="34" fillId="0" borderId="10" xfId="25" applyNumberFormat="1" applyFont="1" applyBorder="1" applyProtection="1"/>
    <xf numFmtId="2" fontId="34" fillId="0" borderId="8" xfId="25" applyNumberFormat="1" applyFont="1" applyBorder="1" applyProtection="1"/>
    <xf numFmtId="0" fontId="35" fillId="0" borderId="0" xfId="25" applyFont="1" applyAlignment="1" applyProtection="1">
      <alignment vertical="top"/>
    </xf>
    <xf numFmtId="0" fontId="35" fillId="0" borderId="0" xfId="25" applyFont="1" applyAlignment="1" applyProtection="1">
      <alignment horizontal="center"/>
    </xf>
    <xf numFmtId="2" fontId="35" fillId="0" borderId="0" xfId="25" applyNumberFormat="1" applyFont="1" applyAlignment="1" applyProtection="1">
      <alignment vertical="top"/>
    </xf>
    <xf numFmtId="0" fontId="35" fillId="0" borderId="0" xfId="25" applyFont="1" applyAlignment="1" applyProtection="1">
      <alignment horizontal="center" vertical="top"/>
    </xf>
    <xf numFmtId="0" fontId="35" fillId="0" borderId="0" xfId="25" applyFont="1" applyAlignment="1" applyProtection="1">
      <alignment vertical="top" wrapText="1"/>
    </xf>
    <xf numFmtId="0" fontId="35" fillId="0" borderId="0" xfId="25" applyFont="1" applyAlignment="1" applyProtection="1">
      <alignment horizontal="right" vertical="top" wrapText="1"/>
    </xf>
    <xf numFmtId="0" fontId="35" fillId="0" borderId="0" xfId="25" applyFont="1" applyAlignment="1" applyProtection="1"/>
    <xf numFmtId="2" fontId="35" fillId="0" borderId="0" xfId="25" applyNumberFormat="1" applyFont="1" applyAlignment="1" applyProtection="1"/>
    <xf numFmtId="0" fontId="35" fillId="0" borderId="0" xfId="25" applyFont="1" applyAlignment="1" applyProtection="1">
      <alignment horizontal="center" vertical="top" wrapText="1"/>
    </xf>
    <xf numFmtId="2" fontId="34" fillId="0" borderId="7" xfId="25" applyNumberFormat="1" applyFont="1" applyBorder="1" applyProtection="1"/>
    <xf numFmtId="2" fontId="29" fillId="0" borderId="0" xfId="25" applyNumberFormat="1" applyFont="1" applyProtection="1"/>
    <xf numFmtId="0" fontId="35" fillId="0" borderId="0" xfId="25" applyFont="1" applyAlignment="1" applyProtection="1">
      <alignment horizontal="right" vertical="top"/>
    </xf>
    <xf numFmtId="0" fontId="35" fillId="0" borderId="0" xfId="25" applyFont="1" applyAlignment="1" applyProtection="1">
      <alignment wrapText="1"/>
    </xf>
    <xf numFmtId="0" fontId="35" fillId="0" borderId="0" xfId="25" applyFont="1" applyAlignment="1" applyProtection="1">
      <alignment horizontal="center" wrapText="1"/>
    </xf>
    <xf numFmtId="2" fontId="35" fillId="0" borderId="0" xfId="25" applyNumberFormat="1" applyFont="1" applyAlignment="1" applyProtection="1">
      <alignment wrapText="1"/>
    </xf>
    <xf numFmtId="2" fontId="35" fillId="0" borderId="0" xfId="25" applyNumberFormat="1" applyFont="1" applyAlignment="1" applyProtection="1">
      <alignment horizontal="right" wrapText="1"/>
    </xf>
    <xf numFmtId="0" fontId="36" fillId="0" borderId="0" xfId="25" applyFont="1" applyProtection="1"/>
    <xf numFmtId="2" fontId="36" fillId="0" borderId="0" xfId="25" applyNumberFormat="1" applyFont="1" applyProtection="1"/>
    <xf numFmtId="0" fontId="5" fillId="0" borderId="0" xfId="25" applyFont="1" applyAlignment="1" applyProtection="1">
      <alignment wrapText="1"/>
    </xf>
    <xf numFmtId="2" fontId="36" fillId="0" borderId="0" xfId="25" applyNumberFormat="1" applyFont="1" applyAlignment="1" applyProtection="1">
      <alignment vertical="top"/>
    </xf>
    <xf numFmtId="0" fontId="37" fillId="0" borderId="0" xfId="25" applyFont="1" applyProtection="1"/>
    <xf numFmtId="0" fontId="38" fillId="0" borderId="0" xfId="25" applyFont="1" applyAlignment="1" applyProtection="1">
      <alignment wrapText="1"/>
    </xf>
    <xf numFmtId="0" fontId="5" fillId="0" borderId="0" xfId="25" applyFont="1" applyAlignment="1" applyProtection="1"/>
    <xf numFmtId="2" fontId="37" fillId="0" borderId="0" xfId="25" applyNumberFormat="1" applyFont="1" applyProtection="1"/>
    <xf numFmtId="0" fontId="5" fillId="0" borderId="0" xfId="25" applyFont="1" applyAlignment="1" applyProtection="1">
      <alignment horizontal="right"/>
    </xf>
    <xf numFmtId="0" fontId="5" fillId="0" borderId="0" xfId="25" applyFont="1" applyProtection="1"/>
    <xf numFmtId="0" fontId="5" fillId="0" borderId="0" xfId="25" applyFont="1" applyAlignment="1" applyProtection="1">
      <alignment horizontal="center" wrapText="1"/>
    </xf>
    <xf numFmtId="0" fontId="35" fillId="0" borderId="0" xfId="25" applyFont="1" applyAlignment="1" applyProtection="1">
      <alignment horizontal="right" wrapText="1"/>
    </xf>
    <xf numFmtId="2" fontId="3" fillId="0" borderId="0" xfId="25" applyNumberFormat="1" applyFont="1" applyAlignment="1" applyProtection="1">
      <alignment wrapText="1"/>
    </xf>
    <xf numFmtId="2" fontId="34" fillId="0" borderId="7" xfId="25" applyNumberFormat="1" applyFont="1" applyBorder="1" applyAlignment="1" applyProtection="1">
      <alignment wrapText="1"/>
    </xf>
    <xf numFmtId="0" fontId="35" fillId="0" borderId="9" xfId="25" applyFont="1" applyBorder="1" applyAlignment="1" applyProtection="1">
      <alignment wrapText="1"/>
    </xf>
    <xf numFmtId="0" fontId="35" fillId="0" borderId="10" xfId="25" applyFont="1" applyBorder="1" applyAlignment="1" applyProtection="1">
      <alignment wrapText="1"/>
    </xf>
    <xf numFmtId="0" fontId="34" fillId="0" borderId="10" xfId="25" applyFont="1" applyBorder="1" applyAlignment="1" applyProtection="1">
      <alignment wrapText="1"/>
    </xf>
    <xf numFmtId="0" fontId="34" fillId="0" borderId="10" xfId="25" applyFont="1" applyBorder="1" applyAlignment="1" applyProtection="1">
      <alignment horizontal="right" wrapText="1"/>
    </xf>
    <xf numFmtId="2" fontId="35" fillId="0" borderId="8" xfId="25" applyNumberFormat="1" applyFont="1" applyBorder="1" applyAlignment="1" applyProtection="1">
      <alignment wrapText="1"/>
    </xf>
    <xf numFmtId="0" fontId="29" fillId="0" borderId="0" xfId="25" applyFont="1" applyAlignment="1" applyProtection="1">
      <alignment wrapText="1"/>
    </xf>
    <xf numFmtId="0" fontId="29" fillId="0" borderId="0" xfId="25" applyFont="1" applyAlignment="1" applyProtection="1">
      <alignment horizontal="right" wrapText="1"/>
    </xf>
    <xf numFmtId="2" fontId="35" fillId="0" borderId="0" xfId="25" applyNumberFormat="1" applyFont="1" applyAlignment="1" applyProtection="1">
      <alignment vertical="top" wrapText="1"/>
    </xf>
    <xf numFmtId="0" fontId="35" fillId="0" borderId="0" xfId="25" applyFont="1" applyAlignment="1" applyProtection="1">
      <alignment horizontal="left" vertical="top" wrapText="1"/>
    </xf>
    <xf numFmtId="0" fontId="35" fillId="0" borderId="0" xfId="25" applyFont="1" applyAlignment="1" applyProtection="1">
      <alignment horizontal="left" vertical="top"/>
    </xf>
    <xf numFmtId="2" fontId="29" fillId="0" borderId="0" xfId="25" applyNumberFormat="1" applyFont="1" applyAlignment="1" applyProtection="1">
      <alignment wrapText="1"/>
    </xf>
    <xf numFmtId="0" fontId="35" fillId="0" borderId="9" xfId="25" applyFont="1" applyBorder="1" applyProtection="1"/>
    <xf numFmtId="0" fontId="35" fillId="0" borderId="10" xfId="25" applyFont="1" applyBorder="1" applyProtection="1"/>
    <xf numFmtId="2" fontId="35" fillId="0" borderId="8" xfId="25" applyNumberFormat="1" applyFont="1" applyBorder="1" applyProtection="1"/>
    <xf numFmtId="0" fontId="39" fillId="0" borderId="0" xfId="25" applyFont="1" applyProtection="1"/>
    <xf numFmtId="0" fontId="3" fillId="0" borderId="0" xfId="25" applyFont="1" applyAlignment="1" applyProtection="1">
      <alignment horizontal="right" wrapText="1"/>
    </xf>
    <xf numFmtId="0" fontId="35" fillId="0" borderId="14" xfId="25" applyFont="1" applyBorder="1" applyAlignment="1" applyProtection="1">
      <alignment vertical="top"/>
    </xf>
    <xf numFmtId="0" fontId="35" fillId="0" borderId="15" xfId="25" applyFont="1" applyBorder="1" applyAlignment="1" applyProtection="1">
      <alignment vertical="top"/>
    </xf>
    <xf numFmtId="0" fontId="35" fillId="0" borderId="15" xfId="25" applyFont="1" applyBorder="1" applyAlignment="1" applyProtection="1">
      <alignment horizontal="right" vertical="top"/>
    </xf>
    <xf numFmtId="2" fontId="35" fillId="0" borderId="15" xfId="25" applyNumberFormat="1" applyFont="1" applyBorder="1" applyAlignment="1" applyProtection="1">
      <alignment vertical="top"/>
    </xf>
    <xf numFmtId="2" fontId="35" fillId="0" borderId="16" xfId="25" applyNumberFormat="1" applyFont="1" applyBorder="1" applyAlignment="1" applyProtection="1">
      <alignment vertical="top"/>
    </xf>
    <xf numFmtId="0" fontId="41" fillId="0" borderId="12" xfId="25" applyFont="1" applyBorder="1" applyAlignment="1" applyProtection="1">
      <alignment vertical="top"/>
    </xf>
    <xf numFmtId="0" fontId="41" fillId="0" borderId="0" xfId="25" applyFont="1" applyAlignment="1" applyProtection="1">
      <alignment vertical="top"/>
    </xf>
    <xf numFmtId="0" fontId="41" fillId="0" borderId="0" xfId="25" applyFont="1" applyAlignment="1" applyProtection="1">
      <alignment horizontal="right" vertical="top"/>
    </xf>
    <xf numFmtId="2" fontId="41" fillId="0" borderId="0" xfId="25" applyNumberFormat="1" applyFont="1" applyAlignment="1" applyProtection="1">
      <alignment vertical="top"/>
    </xf>
    <xf numFmtId="2" fontId="41" fillId="0" borderId="13" xfId="25" applyNumberFormat="1" applyFont="1" applyBorder="1" applyAlignment="1" applyProtection="1">
      <alignment horizontal="right" vertical="top"/>
    </xf>
    <xf numFmtId="0" fontId="35" fillId="0" borderId="31" xfId="25" applyFont="1" applyBorder="1" applyAlignment="1" applyProtection="1">
      <alignment vertical="top"/>
    </xf>
    <xf numFmtId="0" fontId="35" fillId="0" borderId="32" xfId="25" applyFont="1" applyBorder="1" applyAlignment="1" applyProtection="1">
      <alignment vertical="top"/>
    </xf>
    <xf numFmtId="0" fontId="35" fillId="0" borderId="32" xfId="25" applyFont="1" applyBorder="1" applyAlignment="1" applyProtection="1">
      <alignment horizontal="right" vertical="top"/>
    </xf>
    <xf numFmtId="2" fontId="35" fillId="0" borderId="32" xfId="25" applyNumberFormat="1" applyFont="1" applyBorder="1" applyAlignment="1" applyProtection="1">
      <alignment vertical="top"/>
    </xf>
    <xf numFmtId="2" fontId="35" fillId="0" borderId="33" xfId="25" applyNumberFormat="1" applyFont="1" applyBorder="1" applyAlignment="1" applyProtection="1">
      <alignment vertical="top"/>
    </xf>
    <xf numFmtId="0" fontId="34" fillId="8" borderId="9" xfId="25" applyFont="1" applyFill="1" applyBorder="1" applyAlignment="1" applyProtection="1">
      <alignment wrapText="1"/>
    </xf>
    <xf numFmtId="0" fontId="34" fillId="8" borderId="10" xfId="25" applyFont="1" applyFill="1" applyBorder="1" applyAlignment="1" applyProtection="1">
      <alignment wrapText="1"/>
    </xf>
    <xf numFmtId="0" fontId="35" fillId="8" borderId="10" xfId="25" applyFont="1" applyFill="1" applyBorder="1" applyAlignment="1" applyProtection="1">
      <alignment wrapText="1"/>
    </xf>
    <xf numFmtId="2" fontId="35" fillId="8" borderId="10" xfId="25" applyNumberFormat="1" applyFont="1" applyFill="1" applyBorder="1" applyAlignment="1" applyProtection="1">
      <alignment wrapText="1"/>
    </xf>
    <xf numFmtId="2" fontId="35" fillId="8" borderId="8" xfId="25" applyNumberFormat="1" applyFont="1" applyFill="1" applyBorder="1" applyAlignment="1" applyProtection="1">
      <alignment wrapText="1"/>
    </xf>
    <xf numFmtId="0" fontId="30" fillId="0" borderId="0" xfId="25" applyFont="1" applyAlignment="1" applyProtection="1">
      <alignment wrapText="1"/>
    </xf>
    <xf numFmtId="0" fontId="34" fillId="0" borderId="9" xfId="25" applyFont="1" applyBorder="1" applyAlignment="1" applyProtection="1">
      <alignment wrapText="1"/>
    </xf>
    <xf numFmtId="2" fontId="34" fillId="0" borderId="10" xfId="25" applyNumberFormat="1" applyFont="1" applyBorder="1" applyAlignment="1" applyProtection="1">
      <alignment wrapText="1"/>
    </xf>
    <xf numFmtId="2" fontId="34" fillId="0" borderId="8" xfId="25" applyNumberFormat="1" applyFont="1" applyBorder="1" applyAlignment="1" applyProtection="1">
      <alignment wrapText="1"/>
    </xf>
    <xf numFmtId="2" fontId="30" fillId="0" borderId="0" xfId="25" applyNumberFormat="1" applyFont="1" applyAlignment="1" applyProtection="1">
      <alignment wrapText="1"/>
    </xf>
    <xf numFmtId="0" fontId="29" fillId="0" borderId="0" xfId="25" applyFont="1" applyAlignment="1" applyProtection="1"/>
    <xf numFmtId="2" fontId="34" fillId="0" borderId="0" xfId="25" applyNumberFormat="1" applyFont="1" applyBorder="1" applyAlignment="1" applyProtection="1">
      <alignment wrapText="1"/>
    </xf>
    <xf numFmtId="0" fontId="34" fillId="0" borderId="10" xfId="25" applyFont="1" applyBorder="1" applyAlignment="1" applyProtection="1">
      <alignment horizontal="center" wrapText="1"/>
    </xf>
    <xf numFmtId="0" fontId="5" fillId="0" borderId="0" xfId="25" applyFont="1" applyAlignment="1" applyProtection="1">
      <alignment horizontal="center"/>
    </xf>
    <xf numFmtId="0" fontId="5" fillId="0" borderId="0" xfId="25" applyFont="1" applyAlignment="1" applyProtection="1">
      <alignment horizontal="center" vertical="top"/>
    </xf>
    <xf numFmtId="0" fontId="5" fillId="0" borderId="0" xfId="25" applyFont="1" applyAlignment="1" applyProtection="1">
      <alignment horizontal="right" vertical="top" wrapText="1"/>
    </xf>
    <xf numFmtId="0" fontId="5" fillId="0" borderId="0" xfId="25" applyFont="1" applyAlignment="1" applyProtection="1">
      <alignment vertical="top" wrapText="1"/>
    </xf>
    <xf numFmtId="0" fontId="5" fillId="0" borderId="0" xfId="25" applyFont="1" applyAlignment="1" applyProtection="1">
      <alignment horizontal="center" vertical="top" wrapText="1"/>
    </xf>
    <xf numFmtId="0" fontId="29" fillId="0" borderId="14" xfId="25" applyFont="1" applyBorder="1" applyAlignment="1" applyProtection="1">
      <alignment wrapText="1"/>
    </xf>
    <xf numFmtId="0" fontId="29" fillId="0" borderId="15" xfId="25" applyFont="1" applyBorder="1" applyAlignment="1" applyProtection="1">
      <alignment horizontal="center" wrapText="1"/>
    </xf>
    <xf numFmtId="0" fontId="29" fillId="0" borderId="15" xfId="25" applyFont="1" applyBorder="1" applyAlignment="1" applyProtection="1">
      <alignment wrapText="1"/>
    </xf>
    <xf numFmtId="2" fontId="29" fillId="0" borderId="15" xfId="25" applyNumberFormat="1" applyFont="1" applyBorder="1" applyAlignment="1" applyProtection="1">
      <alignment wrapText="1"/>
    </xf>
    <xf numFmtId="2" fontId="29" fillId="0" borderId="16" xfId="25" applyNumberFormat="1" applyFont="1" applyBorder="1" applyAlignment="1" applyProtection="1">
      <alignment wrapText="1"/>
    </xf>
    <xf numFmtId="0" fontId="41" fillId="0" borderId="12" xfId="25" applyFont="1" applyBorder="1" applyAlignment="1" applyProtection="1">
      <alignment wrapText="1"/>
    </xf>
    <xf numFmtId="0" fontId="41" fillId="0" borderId="0" xfId="25" applyFont="1" applyAlignment="1" applyProtection="1">
      <alignment horizontal="center" wrapText="1"/>
    </xf>
    <xf numFmtId="0" fontId="41" fillId="0" borderId="0" xfId="25" applyFont="1" applyAlignment="1" applyProtection="1">
      <alignment wrapText="1"/>
    </xf>
    <xf numFmtId="2" fontId="41" fillId="0" borderId="0" xfId="25" applyNumberFormat="1" applyFont="1" applyAlignment="1" applyProtection="1">
      <alignment wrapText="1"/>
    </xf>
    <xf numFmtId="2" fontId="41" fillId="0" borderId="13" xfId="25" applyNumberFormat="1" applyFont="1" applyBorder="1" applyAlignment="1" applyProtection="1">
      <alignment wrapText="1"/>
    </xf>
    <xf numFmtId="0" fontId="29" fillId="0" borderId="31" xfId="25" applyFont="1" applyBorder="1" applyAlignment="1" applyProtection="1">
      <alignment wrapText="1"/>
    </xf>
    <xf numFmtId="0" fontId="29" fillId="0" borderId="32" xfId="25" applyFont="1" applyBorder="1" applyAlignment="1" applyProtection="1">
      <alignment horizontal="center" wrapText="1"/>
    </xf>
    <xf numFmtId="0" fontId="29" fillId="0" borderId="32" xfId="25" applyFont="1" applyBorder="1" applyAlignment="1" applyProtection="1">
      <alignment wrapText="1"/>
    </xf>
    <xf numFmtId="2" fontId="29" fillId="0" borderId="32" xfId="25" applyNumberFormat="1" applyFont="1" applyBorder="1" applyAlignment="1" applyProtection="1">
      <alignment wrapText="1"/>
    </xf>
    <xf numFmtId="2" fontId="29" fillId="0" borderId="33" xfId="25" applyNumberFormat="1" applyFont="1" applyBorder="1" applyAlignment="1" applyProtection="1">
      <alignment wrapText="1"/>
    </xf>
    <xf numFmtId="2" fontId="5" fillId="0" borderId="0" xfId="25" applyNumberFormat="1" applyFont="1" applyAlignment="1" applyProtection="1">
      <protection locked="0"/>
    </xf>
    <xf numFmtId="2" fontId="5" fillId="0" borderId="0" xfId="25" applyNumberFormat="1" applyFont="1" applyAlignment="1" applyProtection="1">
      <alignment vertical="top" wrapText="1"/>
      <protection locked="0"/>
    </xf>
    <xf numFmtId="0" fontId="5" fillId="0" borderId="0" xfId="4" applyFont="1" applyBorder="1" applyAlignment="1">
      <alignment horizontal="justify" wrapText="1"/>
    </xf>
    <xf numFmtId="0" fontId="3" fillId="0" borderId="0" xfId="4" applyFont="1" applyBorder="1" applyAlignment="1">
      <alignment wrapText="1"/>
    </xf>
    <xf numFmtId="0" fontId="3" fillId="0" borderId="0" xfId="4" applyFont="1" applyAlignment="1"/>
    <xf numFmtId="0" fontId="17" fillId="0" borderId="0" xfId="4" applyFont="1" applyAlignment="1">
      <alignment horizontal="center"/>
    </xf>
    <xf numFmtId="0" fontId="4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4" fillId="0" borderId="25" xfId="4" applyFont="1" applyBorder="1" applyAlignment="1">
      <alignment horizontal="left"/>
    </xf>
    <xf numFmtId="0" fontId="4" fillId="0" borderId="26" xfId="4" applyBorder="1" applyAlignment="1"/>
    <xf numFmtId="0" fontId="4" fillId="0" borderId="27" xfId="4" applyBorder="1" applyAlignment="1"/>
    <xf numFmtId="0" fontId="5" fillId="0" borderId="0" xfId="5" applyFont="1" applyFill="1" applyBorder="1" applyAlignment="1">
      <alignment horizontal="left" wrapText="1"/>
    </xf>
    <xf numFmtId="0" fontId="4" fillId="0" borderId="0" xfId="5" applyAlignment="1">
      <alignment horizontal="left" wrapText="1"/>
    </xf>
    <xf numFmtId="0" fontId="5" fillId="0" borderId="0" xfId="4" applyFont="1" applyBorder="1" applyAlignment="1">
      <alignment horizontal="left" wrapText="1"/>
    </xf>
    <xf numFmtId="0" fontId="3" fillId="0" borderId="10" xfId="6" applyFont="1" applyFill="1" applyBorder="1" applyAlignment="1" applyProtection="1">
      <alignment horizontal="center" vertical="center" wrapText="1"/>
    </xf>
    <xf numFmtId="0" fontId="3" fillId="0" borderId="10" xfId="15" applyFont="1" applyBorder="1" applyAlignment="1" applyProtection="1">
      <alignment vertical="center" wrapText="1"/>
    </xf>
    <xf numFmtId="0" fontId="3" fillId="0" borderId="8" xfId="15" applyFont="1" applyBorder="1" applyAlignment="1" applyProtection="1">
      <alignment vertical="center" wrapText="1"/>
    </xf>
    <xf numFmtId="0" fontId="5" fillId="0" borderId="0" xfId="2" applyFont="1" applyFill="1" applyAlignment="1" applyProtection="1">
      <alignment vertical="center" wrapText="1"/>
    </xf>
    <xf numFmtId="37" fontId="6" fillId="7" borderId="3" xfId="0" applyNumberFormat="1" applyFont="1" applyFill="1" applyBorder="1" applyAlignment="1" applyProtection="1">
      <alignment horizontal="center"/>
    </xf>
    <xf numFmtId="37" fontId="6" fillId="7" borderId="4" xfId="0" applyNumberFormat="1" applyFont="1" applyFill="1" applyBorder="1" applyAlignment="1" applyProtection="1">
      <alignment horizontal="center"/>
    </xf>
    <xf numFmtId="37" fontId="6" fillId="7" borderId="5" xfId="0" applyNumberFormat="1" applyFont="1" applyFill="1" applyBorder="1" applyAlignment="1" applyProtection="1">
      <alignment horizontal="center"/>
    </xf>
    <xf numFmtId="4" fontId="44" fillId="0" borderId="0" xfId="22" applyNumberFormat="1" applyFont="1" applyBorder="1" applyAlignment="1">
      <alignment horizontal="right" vertical="top"/>
    </xf>
    <xf numFmtId="0" fontId="44" fillId="0" borderId="0" xfId="22" applyFont="1" applyAlignment="1">
      <alignment horizontal="center" vertical="center"/>
    </xf>
    <xf numFmtId="0" fontId="45" fillId="0" borderId="0" xfId="22" applyFont="1" applyAlignment="1">
      <alignment horizontal="center" vertical="center"/>
    </xf>
    <xf numFmtId="0" fontId="46" fillId="0" borderId="0" xfId="22" applyFont="1" applyAlignment="1">
      <alignment horizontal="center" vertical="center"/>
    </xf>
    <xf numFmtId="4" fontId="45" fillId="0" borderId="0" xfId="22" applyNumberFormat="1" applyFont="1" applyBorder="1" applyAlignment="1">
      <alignment horizontal="right" vertical="top"/>
    </xf>
    <xf numFmtId="4" fontId="45" fillId="0" borderId="0" xfId="22" applyNumberFormat="1" applyFont="1" applyBorder="1" applyAlignment="1" applyProtection="1">
      <alignment horizontal="right" vertical="top"/>
      <protection locked="0"/>
    </xf>
  </cellXfs>
  <cellStyles count="33">
    <cellStyle name="Hypertextový odkaz 2" xfId="26"/>
    <cellStyle name="Hypertextový odkaz 3" xfId="27"/>
    <cellStyle name="Měna 2" xfId="31"/>
    <cellStyle name="měny 2" xfId="29"/>
    <cellStyle name="Normal_Power Voltage Bill 08.06" xfId="7"/>
    <cellStyle name="Normale_Complete_official_price_list_2007CZ" xfId="8"/>
    <cellStyle name="Normální" xfId="0" builtinId="0"/>
    <cellStyle name="Normální 10" xfId="9"/>
    <cellStyle name="Normální 10 2" xfId="30"/>
    <cellStyle name="normální 11" xfId="21"/>
    <cellStyle name="Normální 12" xfId="22"/>
    <cellStyle name="Normální 13" xfId="23"/>
    <cellStyle name="Normální 14" xfId="24"/>
    <cellStyle name="Normální 15" xfId="25"/>
    <cellStyle name="Normální 16" xfId="28"/>
    <cellStyle name="Normální 2" xfId="1"/>
    <cellStyle name="normální 2 2" xfId="10"/>
    <cellStyle name="normální 3" xfId="3"/>
    <cellStyle name="Normální 3 2" xfId="4"/>
    <cellStyle name="normální 4" xfId="5"/>
    <cellStyle name="Normální 5" xfId="11"/>
    <cellStyle name="Normální 6" xfId="12"/>
    <cellStyle name="Normální 7" xfId="13"/>
    <cellStyle name="Normální 8" xfId="14"/>
    <cellStyle name="Normální 8 2" xfId="15"/>
    <cellStyle name="normální 9" xfId="20"/>
    <cellStyle name="normální_POL.XLS" xfId="2"/>
    <cellStyle name="normální_POL.XLS 2" xfId="16"/>
    <cellStyle name="normální_POL.XLS 3" xfId="6"/>
    <cellStyle name="Procenta 2" xfId="32"/>
    <cellStyle name="Styl 1" xfId="17"/>
    <cellStyle name="Währung" xfId="18"/>
    <cellStyle name="標準_IPS alpha BOQ ME forms detail_Mechanical_El." xfId="19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1/projects/Documents%20and%20Settings/vavra/Desktop/vavra/project/daikin/daikin%20II/CONTRACT/Elma-nab-31.8.04/3117806.03%2031.8.2004%20Daikin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07%20Transformace%20DOZP%20Hlinany/01%20Rekonstrukce%20Teplice/4%20-%20VD/4%20-%20DSP/Rozpocet/TO-407-01%20-%20DSP-rozpoc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/Desktop/ROZPO&#268;TY/CHV&#193;TAL/REVOLU&#268;N&#205;%2014%20-%20OPRAVA%20ST&#344;ECHY/Podklady/Expedice/Expedice/hromosvody/rozpo&#269;et%20s%20ceno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kupka/Documents/Dokumenty%20-%20Michal%20-%20MacBook%20Air/ROZPOC&#780;TY/2022/2022-27%20MS&#780;%20Edvarda%20Benes&#780;e/di&#769;lc&#780;i&#769;%20rozpoc&#780;ty/Kopie%20-%20OBO%20Bettermann_Z_2018ob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kupka/Documents/Dokumenty%20-%20Michal%20-%20MacBook%20Air/ROZPOC&#780;TY/2022/2022-23%20Knihovna%20Petra%20Bezruc&#780;e%20-%20poboc&#780;ka%20Liptovska&#769;/di&#769;lc&#780;i&#769;%20rozpoc&#780;ty%20pr&#780;edbe&#780;z&#780;ne&#769;/Kopie%20-%20OBO%20Bettermann_Z_2018ob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/Desktop/ROZPO&#268;TY/CHV&#193;TAL/REVOLU&#268;N&#205;%2014%20-%20OPRAVA%20ST&#344;ECHY/Podklady/Expedice/Expedice/hromosvody/rozpo&#269;et%20s%20cenou%20el.p&#367;d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380-01%20Hotel%20CLARION%20Ostrava/3b_DPS/PD%20-%20Rozpocet/000-Kryc&#237;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roz.  vč. kapito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.4.5. ZZT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ik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ik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-A.1. Archstav  resen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topLeftCell="B1" zoomScaleNormal="100" zoomScaleSheetLayoutView="75" workbookViewId="0">
      <selection activeCell="M10" sqref="M10"/>
    </sheetView>
  </sheetViews>
  <sheetFormatPr defaultColWidth="8.88671875" defaultRowHeight="13.2" x14ac:dyDescent="0.25"/>
  <cols>
    <col min="1" max="1" width="0.44140625" style="34" hidden="1" customWidth="1"/>
    <col min="2" max="2" width="7.109375" style="34" customWidth="1"/>
    <col min="3" max="3" width="13.44140625" style="34" customWidth="1"/>
    <col min="4" max="4" width="19.6640625" style="34" customWidth="1"/>
    <col min="5" max="5" width="18.44140625" style="34" customWidth="1"/>
    <col min="6" max="6" width="13.109375" style="34" customWidth="1"/>
    <col min="7" max="7" width="16.6640625" style="35" customWidth="1"/>
    <col min="8" max="8" width="16.6640625" style="34" customWidth="1"/>
    <col min="9" max="9" width="17" style="35" customWidth="1"/>
    <col min="10" max="10" width="20.6640625" style="34" customWidth="1"/>
    <col min="11" max="11" width="17.88671875" style="34" customWidth="1"/>
    <col min="12" max="14" width="10.6640625" style="34" customWidth="1"/>
    <col min="15" max="256" width="9.109375" style="34"/>
    <col min="257" max="257" width="0" style="34" hidden="1" customWidth="1"/>
    <col min="258" max="258" width="7.109375" style="34" customWidth="1"/>
    <col min="259" max="259" width="13.44140625" style="34" customWidth="1"/>
    <col min="260" max="260" width="19.6640625" style="34" customWidth="1"/>
    <col min="261" max="261" width="18.44140625" style="34" customWidth="1"/>
    <col min="262" max="262" width="13.109375" style="34" customWidth="1"/>
    <col min="263" max="264" width="16.6640625" style="34" customWidth="1"/>
    <col min="265" max="265" width="17" style="34" customWidth="1"/>
    <col min="266" max="266" width="20.6640625" style="34" customWidth="1"/>
    <col min="267" max="267" width="17.88671875" style="34" customWidth="1"/>
    <col min="268" max="270" width="10.6640625" style="34" customWidth="1"/>
    <col min="271" max="512" width="9.109375" style="34"/>
    <col min="513" max="513" width="0" style="34" hidden="1" customWidth="1"/>
    <col min="514" max="514" width="7.109375" style="34" customWidth="1"/>
    <col min="515" max="515" width="13.44140625" style="34" customWidth="1"/>
    <col min="516" max="516" width="19.6640625" style="34" customWidth="1"/>
    <col min="517" max="517" width="18.44140625" style="34" customWidth="1"/>
    <col min="518" max="518" width="13.109375" style="34" customWidth="1"/>
    <col min="519" max="520" width="16.6640625" style="34" customWidth="1"/>
    <col min="521" max="521" width="17" style="34" customWidth="1"/>
    <col min="522" max="522" width="20.6640625" style="34" customWidth="1"/>
    <col min="523" max="523" width="17.88671875" style="34" customWidth="1"/>
    <col min="524" max="526" width="10.6640625" style="34" customWidth="1"/>
    <col min="527" max="768" width="9.109375" style="34"/>
    <col min="769" max="769" width="0" style="34" hidden="1" customWidth="1"/>
    <col min="770" max="770" width="7.109375" style="34" customWidth="1"/>
    <col min="771" max="771" width="13.44140625" style="34" customWidth="1"/>
    <col min="772" max="772" width="19.6640625" style="34" customWidth="1"/>
    <col min="773" max="773" width="18.44140625" style="34" customWidth="1"/>
    <col min="774" max="774" width="13.109375" style="34" customWidth="1"/>
    <col min="775" max="776" width="16.6640625" style="34" customWidth="1"/>
    <col min="777" max="777" width="17" style="34" customWidth="1"/>
    <col min="778" max="778" width="20.6640625" style="34" customWidth="1"/>
    <col min="779" max="779" width="17.88671875" style="34" customWidth="1"/>
    <col min="780" max="782" width="10.6640625" style="34" customWidth="1"/>
    <col min="783" max="1024" width="9.109375" style="34"/>
    <col min="1025" max="1025" width="0" style="34" hidden="1" customWidth="1"/>
    <col min="1026" max="1026" width="7.109375" style="34" customWidth="1"/>
    <col min="1027" max="1027" width="13.44140625" style="34" customWidth="1"/>
    <col min="1028" max="1028" width="19.6640625" style="34" customWidth="1"/>
    <col min="1029" max="1029" width="18.44140625" style="34" customWidth="1"/>
    <col min="1030" max="1030" width="13.109375" style="34" customWidth="1"/>
    <col min="1031" max="1032" width="16.6640625" style="34" customWidth="1"/>
    <col min="1033" max="1033" width="17" style="34" customWidth="1"/>
    <col min="1034" max="1034" width="20.6640625" style="34" customWidth="1"/>
    <col min="1035" max="1035" width="17.88671875" style="34" customWidth="1"/>
    <col min="1036" max="1038" width="10.6640625" style="34" customWidth="1"/>
    <col min="1039" max="1280" width="9.109375" style="34"/>
    <col min="1281" max="1281" width="0" style="34" hidden="1" customWidth="1"/>
    <col min="1282" max="1282" width="7.109375" style="34" customWidth="1"/>
    <col min="1283" max="1283" width="13.44140625" style="34" customWidth="1"/>
    <col min="1284" max="1284" width="19.6640625" style="34" customWidth="1"/>
    <col min="1285" max="1285" width="18.44140625" style="34" customWidth="1"/>
    <col min="1286" max="1286" width="13.109375" style="34" customWidth="1"/>
    <col min="1287" max="1288" width="16.6640625" style="34" customWidth="1"/>
    <col min="1289" max="1289" width="17" style="34" customWidth="1"/>
    <col min="1290" max="1290" width="20.6640625" style="34" customWidth="1"/>
    <col min="1291" max="1291" width="17.88671875" style="34" customWidth="1"/>
    <col min="1292" max="1294" width="10.6640625" style="34" customWidth="1"/>
    <col min="1295" max="1536" width="9.109375" style="34"/>
    <col min="1537" max="1537" width="0" style="34" hidden="1" customWidth="1"/>
    <col min="1538" max="1538" width="7.109375" style="34" customWidth="1"/>
    <col min="1539" max="1539" width="13.44140625" style="34" customWidth="1"/>
    <col min="1540" max="1540" width="19.6640625" style="34" customWidth="1"/>
    <col min="1541" max="1541" width="18.44140625" style="34" customWidth="1"/>
    <col min="1542" max="1542" width="13.109375" style="34" customWidth="1"/>
    <col min="1543" max="1544" width="16.6640625" style="34" customWidth="1"/>
    <col min="1545" max="1545" width="17" style="34" customWidth="1"/>
    <col min="1546" max="1546" width="20.6640625" style="34" customWidth="1"/>
    <col min="1547" max="1547" width="17.88671875" style="34" customWidth="1"/>
    <col min="1548" max="1550" width="10.6640625" style="34" customWidth="1"/>
    <col min="1551" max="1792" width="9.109375" style="34"/>
    <col min="1793" max="1793" width="0" style="34" hidden="1" customWidth="1"/>
    <col min="1794" max="1794" width="7.109375" style="34" customWidth="1"/>
    <col min="1795" max="1795" width="13.44140625" style="34" customWidth="1"/>
    <col min="1796" max="1796" width="19.6640625" style="34" customWidth="1"/>
    <col min="1797" max="1797" width="18.44140625" style="34" customWidth="1"/>
    <col min="1798" max="1798" width="13.109375" style="34" customWidth="1"/>
    <col min="1799" max="1800" width="16.6640625" style="34" customWidth="1"/>
    <col min="1801" max="1801" width="17" style="34" customWidth="1"/>
    <col min="1802" max="1802" width="20.6640625" style="34" customWidth="1"/>
    <col min="1803" max="1803" width="17.88671875" style="34" customWidth="1"/>
    <col min="1804" max="1806" width="10.6640625" style="34" customWidth="1"/>
    <col min="1807" max="2048" width="9.109375" style="34"/>
    <col min="2049" max="2049" width="0" style="34" hidden="1" customWidth="1"/>
    <col min="2050" max="2050" width="7.109375" style="34" customWidth="1"/>
    <col min="2051" max="2051" width="13.44140625" style="34" customWidth="1"/>
    <col min="2052" max="2052" width="19.6640625" style="34" customWidth="1"/>
    <col min="2053" max="2053" width="18.44140625" style="34" customWidth="1"/>
    <col min="2054" max="2054" width="13.109375" style="34" customWidth="1"/>
    <col min="2055" max="2056" width="16.6640625" style="34" customWidth="1"/>
    <col min="2057" max="2057" width="17" style="34" customWidth="1"/>
    <col min="2058" max="2058" width="20.6640625" style="34" customWidth="1"/>
    <col min="2059" max="2059" width="17.88671875" style="34" customWidth="1"/>
    <col min="2060" max="2062" width="10.6640625" style="34" customWidth="1"/>
    <col min="2063" max="2304" width="9.109375" style="34"/>
    <col min="2305" max="2305" width="0" style="34" hidden="1" customWidth="1"/>
    <col min="2306" max="2306" width="7.109375" style="34" customWidth="1"/>
    <col min="2307" max="2307" width="13.44140625" style="34" customWidth="1"/>
    <col min="2308" max="2308" width="19.6640625" style="34" customWidth="1"/>
    <col min="2309" max="2309" width="18.44140625" style="34" customWidth="1"/>
    <col min="2310" max="2310" width="13.109375" style="34" customWidth="1"/>
    <col min="2311" max="2312" width="16.6640625" style="34" customWidth="1"/>
    <col min="2313" max="2313" width="17" style="34" customWidth="1"/>
    <col min="2314" max="2314" width="20.6640625" style="34" customWidth="1"/>
    <col min="2315" max="2315" width="17.88671875" style="34" customWidth="1"/>
    <col min="2316" max="2318" width="10.6640625" style="34" customWidth="1"/>
    <col min="2319" max="2560" width="9.109375" style="34"/>
    <col min="2561" max="2561" width="0" style="34" hidden="1" customWidth="1"/>
    <col min="2562" max="2562" width="7.109375" style="34" customWidth="1"/>
    <col min="2563" max="2563" width="13.44140625" style="34" customWidth="1"/>
    <col min="2564" max="2564" width="19.6640625" style="34" customWidth="1"/>
    <col min="2565" max="2565" width="18.44140625" style="34" customWidth="1"/>
    <col min="2566" max="2566" width="13.109375" style="34" customWidth="1"/>
    <col min="2567" max="2568" width="16.6640625" style="34" customWidth="1"/>
    <col min="2569" max="2569" width="17" style="34" customWidth="1"/>
    <col min="2570" max="2570" width="20.6640625" style="34" customWidth="1"/>
    <col min="2571" max="2571" width="17.88671875" style="34" customWidth="1"/>
    <col min="2572" max="2574" width="10.6640625" style="34" customWidth="1"/>
    <col min="2575" max="2816" width="9.109375" style="34"/>
    <col min="2817" max="2817" width="0" style="34" hidden="1" customWidth="1"/>
    <col min="2818" max="2818" width="7.109375" style="34" customWidth="1"/>
    <col min="2819" max="2819" width="13.44140625" style="34" customWidth="1"/>
    <col min="2820" max="2820" width="19.6640625" style="34" customWidth="1"/>
    <col min="2821" max="2821" width="18.44140625" style="34" customWidth="1"/>
    <col min="2822" max="2822" width="13.109375" style="34" customWidth="1"/>
    <col min="2823" max="2824" width="16.6640625" style="34" customWidth="1"/>
    <col min="2825" max="2825" width="17" style="34" customWidth="1"/>
    <col min="2826" max="2826" width="20.6640625" style="34" customWidth="1"/>
    <col min="2827" max="2827" width="17.88671875" style="34" customWidth="1"/>
    <col min="2828" max="2830" width="10.6640625" style="34" customWidth="1"/>
    <col min="2831" max="3072" width="9.109375" style="34"/>
    <col min="3073" max="3073" width="0" style="34" hidden="1" customWidth="1"/>
    <col min="3074" max="3074" width="7.109375" style="34" customWidth="1"/>
    <col min="3075" max="3075" width="13.44140625" style="34" customWidth="1"/>
    <col min="3076" max="3076" width="19.6640625" style="34" customWidth="1"/>
    <col min="3077" max="3077" width="18.44140625" style="34" customWidth="1"/>
    <col min="3078" max="3078" width="13.109375" style="34" customWidth="1"/>
    <col min="3079" max="3080" width="16.6640625" style="34" customWidth="1"/>
    <col min="3081" max="3081" width="17" style="34" customWidth="1"/>
    <col min="3082" max="3082" width="20.6640625" style="34" customWidth="1"/>
    <col min="3083" max="3083" width="17.88671875" style="34" customWidth="1"/>
    <col min="3084" max="3086" width="10.6640625" style="34" customWidth="1"/>
    <col min="3087" max="3328" width="9.109375" style="34"/>
    <col min="3329" max="3329" width="0" style="34" hidden="1" customWidth="1"/>
    <col min="3330" max="3330" width="7.109375" style="34" customWidth="1"/>
    <col min="3331" max="3331" width="13.44140625" style="34" customWidth="1"/>
    <col min="3332" max="3332" width="19.6640625" style="34" customWidth="1"/>
    <col min="3333" max="3333" width="18.44140625" style="34" customWidth="1"/>
    <col min="3334" max="3334" width="13.109375" style="34" customWidth="1"/>
    <col min="3335" max="3336" width="16.6640625" style="34" customWidth="1"/>
    <col min="3337" max="3337" width="17" style="34" customWidth="1"/>
    <col min="3338" max="3338" width="20.6640625" style="34" customWidth="1"/>
    <col min="3339" max="3339" width="17.88671875" style="34" customWidth="1"/>
    <col min="3340" max="3342" width="10.6640625" style="34" customWidth="1"/>
    <col min="3343" max="3584" width="9.109375" style="34"/>
    <col min="3585" max="3585" width="0" style="34" hidden="1" customWidth="1"/>
    <col min="3586" max="3586" width="7.109375" style="34" customWidth="1"/>
    <col min="3587" max="3587" width="13.44140625" style="34" customWidth="1"/>
    <col min="3588" max="3588" width="19.6640625" style="34" customWidth="1"/>
    <col min="3589" max="3589" width="18.44140625" style="34" customWidth="1"/>
    <col min="3590" max="3590" width="13.109375" style="34" customWidth="1"/>
    <col min="3591" max="3592" width="16.6640625" style="34" customWidth="1"/>
    <col min="3593" max="3593" width="17" style="34" customWidth="1"/>
    <col min="3594" max="3594" width="20.6640625" style="34" customWidth="1"/>
    <col min="3595" max="3595" width="17.88671875" style="34" customWidth="1"/>
    <col min="3596" max="3598" width="10.6640625" style="34" customWidth="1"/>
    <col min="3599" max="3840" width="9.109375" style="34"/>
    <col min="3841" max="3841" width="0" style="34" hidden="1" customWidth="1"/>
    <col min="3842" max="3842" width="7.109375" style="34" customWidth="1"/>
    <col min="3843" max="3843" width="13.44140625" style="34" customWidth="1"/>
    <col min="3844" max="3844" width="19.6640625" style="34" customWidth="1"/>
    <col min="3845" max="3845" width="18.44140625" style="34" customWidth="1"/>
    <col min="3846" max="3846" width="13.109375" style="34" customWidth="1"/>
    <col min="3847" max="3848" width="16.6640625" style="34" customWidth="1"/>
    <col min="3849" max="3849" width="17" style="34" customWidth="1"/>
    <col min="3850" max="3850" width="20.6640625" style="34" customWidth="1"/>
    <col min="3851" max="3851" width="17.88671875" style="34" customWidth="1"/>
    <col min="3852" max="3854" width="10.6640625" style="34" customWidth="1"/>
    <col min="3855" max="4096" width="9.109375" style="34"/>
    <col min="4097" max="4097" width="0" style="34" hidden="1" customWidth="1"/>
    <col min="4098" max="4098" width="7.109375" style="34" customWidth="1"/>
    <col min="4099" max="4099" width="13.44140625" style="34" customWidth="1"/>
    <col min="4100" max="4100" width="19.6640625" style="34" customWidth="1"/>
    <col min="4101" max="4101" width="18.44140625" style="34" customWidth="1"/>
    <col min="4102" max="4102" width="13.109375" style="34" customWidth="1"/>
    <col min="4103" max="4104" width="16.6640625" style="34" customWidth="1"/>
    <col min="4105" max="4105" width="17" style="34" customWidth="1"/>
    <col min="4106" max="4106" width="20.6640625" style="34" customWidth="1"/>
    <col min="4107" max="4107" width="17.88671875" style="34" customWidth="1"/>
    <col min="4108" max="4110" width="10.6640625" style="34" customWidth="1"/>
    <col min="4111" max="4352" width="9.109375" style="34"/>
    <col min="4353" max="4353" width="0" style="34" hidden="1" customWidth="1"/>
    <col min="4354" max="4354" width="7.109375" style="34" customWidth="1"/>
    <col min="4355" max="4355" width="13.44140625" style="34" customWidth="1"/>
    <col min="4356" max="4356" width="19.6640625" style="34" customWidth="1"/>
    <col min="4357" max="4357" width="18.44140625" style="34" customWidth="1"/>
    <col min="4358" max="4358" width="13.109375" style="34" customWidth="1"/>
    <col min="4359" max="4360" width="16.6640625" style="34" customWidth="1"/>
    <col min="4361" max="4361" width="17" style="34" customWidth="1"/>
    <col min="4362" max="4362" width="20.6640625" style="34" customWidth="1"/>
    <col min="4363" max="4363" width="17.88671875" style="34" customWidth="1"/>
    <col min="4364" max="4366" width="10.6640625" style="34" customWidth="1"/>
    <col min="4367" max="4608" width="9.109375" style="34"/>
    <col min="4609" max="4609" width="0" style="34" hidden="1" customWidth="1"/>
    <col min="4610" max="4610" width="7.109375" style="34" customWidth="1"/>
    <col min="4611" max="4611" width="13.44140625" style="34" customWidth="1"/>
    <col min="4612" max="4612" width="19.6640625" style="34" customWidth="1"/>
    <col min="4613" max="4613" width="18.44140625" style="34" customWidth="1"/>
    <col min="4614" max="4614" width="13.109375" style="34" customWidth="1"/>
    <col min="4615" max="4616" width="16.6640625" style="34" customWidth="1"/>
    <col min="4617" max="4617" width="17" style="34" customWidth="1"/>
    <col min="4618" max="4618" width="20.6640625" style="34" customWidth="1"/>
    <col min="4619" max="4619" width="17.88671875" style="34" customWidth="1"/>
    <col min="4620" max="4622" width="10.6640625" style="34" customWidth="1"/>
    <col min="4623" max="4864" width="9.109375" style="34"/>
    <col min="4865" max="4865" width="0" style="34" hidden="1" customWidth="1"/>
    <col min="4866" max="4866" width="7.109375" style="34" customWidth="1"/>
    <col min="4867" max="4867" width="13.44140625" style="34" customWidth="1"/>
    <col min="4868" max="4868" width="19.6640625" style="34" customWidth="1"/>
    <col min="4869" max="4869" width="18.44140625" style="34" customWidth="1"/>
    <col min="4870" max="4870" width="13.109375" style="34" customWidth="1"/>
    <col min="4871" max="4872" width="16.6640625" style="34" customWidth="1"/>
    <col min="4873" max="4873" width="17" style="34" customWidth="1"/>
    <col min="4874" max="4874" width="20.6640625" style="34" customWidth="1"/>
    <col min="4875" max="4875" width="17.88671875" style="34" customWidth="1"/>
    <col min="4876" max="4878" width="10.6640625" style="34" customWidth="1"/>
    <col min="4879" max="5120" width="9.109375" style="34"/>
    <col min="5121" max="5121" width="0" style="34" hidden="1" customWidth="1"/>
    <col min="5122" max="5122" width="7.109375" style="34" customWidth="1"/>
    <col min="5123" max="5123" width="13.44140625" style="34" customWidth="1"/>
    <col min="5124" max="5124" width="19.6640625" style="34" customWidth="1"/>
    <col min="5125" max="5125" width="18.44140625" style="34" customWidth="1"/>
    <col min="5126" max="5126" width="13.109375" style="34" customWidth="1"/>
    <col min="5127" max="5128" width="16.6640625" style="34" customWidth="1"/>
    <col min="5129" max="5129" width="17" style="34" customWidth="1"/>
    <col min="5130" max="5130" width="20.6640625" style="34" customWidth="1"/>
    <col min="5131" max="5131" width="17.88671875" style="34" customWidth="1"/>
    <col min="5132" max="5134" width="10.6640625" style="34" customWidth="1"/>
    <col min="5135" max="5376" width="9.109375" style="34"/>
    <col min="5377" max="5377" width="0" style="34" hidden="1" customWidth="1"/>
    <col min="5378" max="5378" width="7.109375" style="34" customWidth="1"/>
    <col min="5379" max="5379" width="13.44140625" style="34" customWidth="1"/>
    <col min="5380" max="5380" width="19.6640625" style="34" customWidth="1"/>
    <col min="5381" max="5381" width="18.44140625" style="34" customWidth="1"/>
    <col min="5382" max="5382" width="13.109375" style="34" customWidth="1"/>
    <col min="5383" max="5384" width="16.6640625" style="34" customWidth="1"/>
    <col min="5385" max="5385" width="17" style="34" customWidth="1"/>
    <col min="5386" max="5386" width="20.6640625" style="34" customWidth="1"/>
    <col min="5387" max="5387" width="17.88671875" style="34" customWidth="1"/>
    <col min="5388" max="5390" width="10.6640625" style="34" customWidth="1"/>
    <col min="5391" max="5632" width="9.109375" style="34"/>
    <col min="5633" max="5633" width="0" style="34" hidden="1" customWidth="1"/>
    <col min="5634" max="5634" width="7.109375" style="34" customWidth="1"/>
    <col min="5635" max="5635" width="13.44140625" style="34" customWidth="1"/>
    <col min="5636" max="5636" width="19.6640625" style="34" customWidth="1"/>
    <col min="5637" max="5637" width="18.44140625" style="34" customWidth="1"/>
    <col min="5638" max="5638" width="13.109375" style="34" customWidth="1"/>
    <col min="5639" max="5640" width="16.6640625" style="34" customWidth="1"/>
    <col min="5641" max="5641" width="17" style="34" customWidth="1"/>
    <col min="5642" max="5642" width="20.6640625" style="34" customWidth="1"/>
    <col min="5643" max="5643" width="17.88671875" style="34" customWidth="1"/>
    <col min="5644" max="5646" width="10.6640625" style="34" customWidth="1"/>
    <col min="5647" max="5888" width="9.109375" style="34"/>
    <col min="5889" max="5889" width="0" style="34" hidden="1" customWidth="1"/>
    <col min="5890" max="5890" width="7.109375" style="34" customWidth="1"/>
    <col min="5891" max="5891" width="13.44140625" style="34" customWidth="1"/>
    <col min="5892" max="5892" width="19.6640625" style="34" customWidth="1"/>
    <col min="5893" max="5893" width="18.44140625" style="34" customWidth="1"/>
    <col min="5894" max="5894" width="13.109375" style="34" customWidth="1"/>
    <col min="5895" max="5896" width="16.6640625" style="34" customWidth="1"/>
    <col min="5897" max="5897" width="17" style="34" customWidth="1"/>
    <col min="5898" max="5898" width="20.6640625" style="34" customWidth="1"/>
    <col min="5899" max="5899" width="17.88671875" style="34" customWidth="1"/>
    <col min="5900" max="5902" width="10.6640625" style="34" customWidth="1"/>
    <col min="5903" max="6144" width="9.109375" style="34"/>
    <col min="6145" max="6145" width="0" style="34" hidden="1" customWidth="1"/>
    <col min="6146" max="6146" width="7.109375" style="34" customWidth="1"/>
    <col min="6147" max="6147" width="13.44140625" style="34" customWidth="1"/>
    <col min="6148" max="6148" width="19.6640625" style="34" customWidth="1"/>
    <col min="6149" max="6149" width="18.44140625" style="34" customWidth="1"/>
    <col min="6150" max="6150" width="13.109375" style="34" customWidth="1"/>
    <col min="6151" max="6152" width="16.6640625" style="34" customWidth="1"/>
    <col min="6153" max="6153" width="17" style="34" customWidth="1"/>
    <col min="6154" max="6154" width="20.6640625" style="34" customWidth="1"/>
    <col min="6155" max="6155" width="17.88671875" style="34" customWidth="1"/>
    <col min="6156" max="6158" width="10.6640625" style="34" customWidth="1"/>
    <col min="6159" max="6400" width="9.109375" style="34"/>
    <col min="6401" max="6401" width="0" style="34" hidden="1" customWidth="1"/>
    <col min="6402" max="6402" width="7.109375" style="34" customWidth="1"/>
    <col min="6403" max="6403" width="13.44140625" style="34" customWidth="1"/>
    <col min="6404" max="6404" width="19.6640625" style="34" customWidth="1"/>
    <col min="6405" max="6405" width="18.44140625" style="34" customWidth="1"/>
    <col min="6406" max="6406" width="13.109375" style="34" customWidth="1"/>
    <col min="6407" max="6408" width="16.6640625" style="34" customWidth="1"/>
    <col min="6409" max="6409" width="17" style="34" customWidth="1"/>
    <col min="6410" max="6410" width="20.6640625" style="34" customWidth="1"/>
    <col min="6411" max="6411" width="17.88671875" style="34" customWidth="1"/>
    <col min="6412" max="6414" width="10.6640625" style="34" customWidth="1"/>
    <col min="6415" max="6656" width="9.109375" style="34"/>
    <col min="6657" max="6657" width="0" style="34" hidden="1" customWidth="1"/>
    <col min="6658" max="6658" width="7.109375" style="34" customWidth="1"/>
    <col min="6659" max="6659" width="13.44140625" style="34" customWidth="1"/>
    <col min="6660" max="6660" width="19.6640625" style="34" customWidth="1"/>
    <col min="6661" max="6661" width="18.44140625" style="34" customWidth="1"/>
    <col min="6662" max="6662" width="13.109375" style="34" customWidth="1"/>
    <col min="6663" max="6664" width="16.6640625" style="34" customWidth="1"/>
    <col min="6665" max="6665" width="17" style="34" customWidth="1"/>
    <col min="6666" max="6666" width="20.6640625" style="34" customWidth="1"/>
    <col min="6667" max="6667" width="17.88671875" style="34" customWidth="1"/>
    <col min="6668" max="6670" width="10.6640625" style="34" customWidth="1"/>
    <col min="6671" max="6912" width="9.109375" style="34"/>
    <col min="6913" max="6913" width="0" style="34" hidden="1" customWidth="1"/>
    <col min="6914" max="6914" width="7.109375" style="34" customWidth="1"/>
    <col min="6915" max="6915" width="13.44140625" style="34" customWidth="1"/>
    <col min="6916" max="6916" width="19.6640625" style="34" customWidth="1"/>
    <col min="6917" max="6917" width="18.44140625" style="34" customWidth="1"/>
    <col min="6918" max="6918" width="13.109375" style="34" customWidth="1"/>
    <col min="6919" max="6920" width="16.6640625" style="34" customWidth="1"/>
    <col min="6921" max="6921" width="17" style="34" customWidth="1"/>
    <col min="6922" max="6922" width="20.6640625" style="34" customWidth="1"/>
    <col min="6923" max="6923" width="17.88671875" style="34" customWidth="1"/>
    <col min="6924" max="6926" width="10.6640625" style="34" customWidth="1"/>
    <col min="6927" max="7168" width="9.109375" style="34"/>
    <col min="7169" max="7169" width="0" style="34" hidden="1" customWidth="1"/>
    <col min="7170" max="7170" width="7.109375" style="34" customWidth="1"/>
    <col min="7171" max="7171" width="13.44140625" style="34" customWidth="1"/>
    <col min="7172" max="7172" width="19.6640625" style="34" customWidth="1"/>
    <col min="7173" max="7173" width="18.44140625" style="34" customWidth="1"/>
    <col min="7174" max="7174" width="13.109375" style="34" customWidth="1"/>
    <col min="7175" max="7176" width="16.6640625" style="34" customWidth="1"/>
    <col min="7177" max="7177" width="17" style="34" customWidth="1"/>
    <col min="7178" max="7178" width="20.6640625" style="34" customWidth="1"/>
    <col min="7179" max="7179" width="17.88671875" style="34" customWidth="1"/>
    <col min="7180" max="7182" width="10.6640625" style="34" customWidth="1"/>
    <col min="7183" max="7424" width="9.109375" style="34"/>
    <col min="7425" max="7425" width="0" style="34" hidden="1" customWidth="1"/>
    <col min="7426" max="7426" width="7.109375" style="34" customWidth="1"/>
    <col min="7427" max="7427" width="13.44140625" style="34" customWidth="1"/>
    <col min="7428" max="7428" width="19.6640625" style="34" customWidth="1"/>
    <col min="7429" max="7429" width="18.44140625" style="34" customWidth="1"/>
    <col min="7430" max="7430" width="13.109375" style="34" customWidth="1"/>
    <col min="7431" max="7432" width="16.6640625" style="34" customWidth="1"/>
    <col min="7433" max="7433" width="17" style="34" customWidth="1"/>
    <col min="7434" max="7434" width="20.6640625" style="34" customWidth="1"/>
    <col min="7435" max="7435" width="17.88671875" style="34" customWidth="1"/>
    <col min="7436" max="7438" width="10.6640625" style="34" customWidth="1"/>
    <col min="7439" max="7680" width="9.109375" style="34"/>
    <col min="7681" max="7681" width="0" style="34" hidden="1" customWidth="1"/>
    <col min="7682" max="7682" width="7.109375" style="34" customWidth="1"/>
    <col min="7683" max="7683" width="13.44140625" style="34" customWidth="1"/>
    <col min="7684" max="7684" width="19.6640625" style="34" customWidth="1"/>
    <col min="7685" max="7685" width="18.44140625" style="34" customWidth="1"/>
    <col min="7686" max="7686" width="13.109375" style="34" customWidth="1"/>
    <col min="7687" max="7688" width="16.6640625" style="34" customWidth="1"/>
    <col min="7689" max="7689" width="17" style="34" customWidth="1"/>
    <col min="7690" max="7690" width="20.6640625" style="34" customWidth="1"/>
    <col min="7691" max="7691" width="17.88671875" style="34" customWidth="1"/>
    <col min="7692" max="7694" width="10.6640625" style="34" customWidth="1"/>
    <col min="7695" max="7936" width="9.109375" style="34"/>
    <col min="7937" max="7937" width="0" style="34" hidden="1" customWidth="1"/>
    <col min="7938" max="7938" width="7.109375" style="34" customWidth="1"/>
    <col min="7939" max="7939" width="13.44140625" style="34" customWidth="1"/>
    <col min="7940" max="7940" width="19.6640625" style="34" customWidth="1"/>
    <col min="7941" max="7941" width="18.44140625" style="34" customWidth="1"/>
    <col min="7942" max="7942" width="13.109375" style="34" customWidth="1"/>
    <col min="7943" max="7944" width="16.6640625" style="34" customWidth="1"/>
    <col min="7945" max="7945" width="17" style="34" customWidth="1"/>
    <col min="7946" max="7946" width="20.6640625" style="34" customWidth="1"/>
    <col min="7947" max="7947" width="17.88671875" style="34" customWidth="1"/>
    <col min="7948" max="7950" width="10.6640625" style="34" customWidth="1"/>
    <col min="7951" max="8192" width="9.109375" style="34"/>
    <col min="8193" max="8193" width="0" style="34" hidden="1" customWidth="1"/>
    <col min="8194" max="8194" width="7.109375" style="34" customWidth="1"/>
    <col min="8195" max="8195" width="13.44140625" style="34" customWidth="1"/>
    <col min="8196" max="8196" width="19.6640625" style="34" customWidth="1"/>
    <col min="8197" max="8197" width="18.44140625" style="34" customWidth="1"/>
    <col min="8198" max="8198" width="13.109375" style="34" customWidth="1"/>
    <col min="8199" max="8200" width="16.6640625" style="34" customWidth="1"/>
    <col min="8201" max="8201" width="17" style="34" customWidth="1"/>
    <col min="8202" max="8202" width="20.6640625" style="34" customWidth="1"/>
    <col min="8203" max="8203" width="17.88671875" style="34" customWidth="1"/>
    <col min="8204" max="8206" width="10.6640625" style="34" customWidth="1"/>
    <col min="8207" max="8448" width="9.109375" style="34"/>
    <col min="8449" max="8449" width="0" style="34" hidden="1" customWidth="1"/>
    <col min="8450" max="8450" width="7.109375" style="34" customWidth="1"/>
    <col min="8451" max="8451" width="13.44140625" style="34" customWidth="1"/>
    <col min="8452" max="8452" width="19.6640625" style="34" customWidth="1"/>
    <col min="8453" max="8453" width="18.44140625" style="34" customWidth="1"/>
    <col min="8454" max="8454" width="13.109375" style="34" customWidth="1"/>
    <col min="8455" max="8456" width="16.6640625" style="34" customWidth="1"/>
    <col min="8457" max="8457" width="17" style="34" customWidth="1"/>
    <col min="8458" max="8458" width="20.6640625" style="34" customWidth="1"/>
    <col min="8459" max="8459" width="17.88671875" style="34" customWidth="1"/>
    <col min="8460" max="8462" width="10.6640625" style="34" customWidth="1"/>
    <col min="8463" max="8704" width="9.109375" style="34"/>
    <col min="8705" max="8705" width="0" style="34" hidden="1" customWidth="1"/>
    <col min="8706" max="8706" width="7.109375" style="34" customWidth="1"/>
    <col min="8707" max="8707" width="13.44140625" style="34" customWidth="1"/>
    <col min="8708" max="8708" width="19.6640625" style="34" customWidth="1"/>
    <col min="8709" max="8709" width="18.44140625" style="34" customWidth="1"/>
    <col min="8710" max="8710" width="13.109375" style="34" customWidth="1"/>
    <col min="8711" max="8712" width="16.6640625" style="34" customWidth="1"/>
    <col min="8713" max="8713" width="17" style="34" customWidth="1"/>
    <col min="8714" max="8714" width="20.6640625" style="34" customWidth="1"/>
    <col min="8715" max="8715" width="17.88671875" style="34" customWidth="1"/>
    <col min="8716" max="8718" width="10.6640625" style="34" customWidth="1"/>
    <col min="8719" max="8960" width="9.109375" style="34"/>
    <col min="8961" max="8961" width="0" style="34" hidden="1" customWidth="1"/>
    <col min="8962" max="8962" width="7.109375" style="34" customWidth="1"/>
    <col min="8963" max="8963" width="13.44140625" style="34" customWidth="1"/>
    <col min="8964" max="8964" width="19.6640625" style="34" customWidth="1"/>
    <col min="8965" max="8965" width="18.44140625" style="34" customWidth="1"/>
    <col min="8966" max="8966" width="13.109375" style="34" customWidth="1"/>
    <col min="8967" max="8968" width="16.6640625" style="34" customWidth="1"/>
    <col min="8969" max="8969" width="17" style="34" customWidth="1"/>
    <col min="8970" max="8970" width="20.6640625" style="34" customWidth="1"/>
    <col min="8971" max="8971" width="17.88671875" style="34" customWidth="1"/>
    <col min="8972" max="8974" width="10.6640625" style="34" customWidth="1"/>
    <col min="8975" max="9216" width="9.109375" style="34"/>
    <col min="9217" max="9217" width="0" style="34" hidden="1" customWidth="1"/>
    <col min="9218" max="9218" width="7.109375" style="34" customWidth="1"/>
    <col min="9219" max="9219" width="13.44140625" style="34" customWidth="1"/>
    <col min="9220" max="9220" width="19.6640625" style="34" customWidth="1"/>
    <col min="9221" max="9221" width="18.44140625" style="34" customWidth="1"/>
    <col min="9222" max="9222" width="13.109375" style="34" customWidth="1"/>
    <col min="9223" max="9224" width="16.6640625" style="34" customWidth="1"/>
    <col min="9225" max="9225" width="17" style="34" customWidth="1"/>
    <col min="9226" max="9226" width="20.6640625" style="34" customWidth="1"/>
    <col min="9227" max="9227" width="17.88671875" style="34" customWidth="1"/>
    <col min="9228" max="9230" width="10.6640625" style="34" customWidth="1"/>
    <col min="9231" max="9472" width="9.109375" style="34"/>
    <col min="9473" max="9473" width="0" style="34" hidden="1" customWidth="1"/>
    <col min="9474" max="9474" width="7.109375" style="34" customWidth="1"/>
    <col min="9475" max="9475" width="13.44140625" style="34" customWidth="1"/>
    <col min="9476" max="9476" width="19.6640625" style="34" customWidth="1"/>
    <col min="9477" max="9477" width="18.44140625" style="34" customWidth="1"/>
    <col min="9478" max="9478" width="13.109375" style="34" customWidth="1"/>
    <col min="9479" max="9480" width="16.6640625" style="34" customWidth="1"/>
    <col min="9481" max="9481" width="17" style="34" customWidth="1"/>
    <col min="9482" max="9482" width="20.6640625" style="34" customWidth="1"/>
    <col min="9483" max="9483" width="17.88671875" style="34" customWidth="1"/>
    <col min="9484" max="9486" width="10.6640625" style="34" customWidth="1"/>
    <col min="9487" max="9728" width="9.109375" style="34"/>
    <col min="9729" max="9729" width="0" style="34" hidden="1" customWidth="1"/>
    <col min="9730" max="9730" width="7.109375" style="34" customWidth="1"/>
    <col min="9731" max="9731" width="13.44140625" style="34" customWidth="1"/>
    <col min="9732" max="9732" width="19.6640625" style="34" customWidth="1"/>
    <col min="9733" max="9733" width="18.44140625" style="34" customWidth="1"/>
    <col min="9734" max="9734" width="13.109375" style="34" customWidth="1"/>
    <col min="9735" max="9736" width="16.6640625" style="34" customWidth="1"/>
    <col min="9737" max="9737" width="17" style="34" customWidth="1"/>
    <col min="9738" max="9738" width="20.6640625" style="34" customWidth="1"/>
    <col min="9739" max="9739" width="17.88671875" style="34" customWidth="1"/>
    <col min="9740" max="9742" width="10.6640625" style="34" customWidth="1"/>
    <col min="9743" max="9984" width="9.109375" style="34"/>
    <col min="9985" max="9985" width="0" style="34" hidden="1" customWidth="1"/>
    <col min="9986" max="9986" width="7.109375" style="34" customWidth="1"/>
    <col min="9987" max="9987" width="13.44140625" style="34" customWidth="1"/>
    <col min="9988" max="9988" width="19.6640625" style="34" customWidth="1"/>
    <col min="9989" max="9989" width="18.44140625" style="34" customWidth="1"/>
    <col min="9990" max="9990" width="13.109375" style="34" customWidth="1"/>
    <col min="9991" max="9992" width="16.6640625" style="34" customWidth="1"/>
    <col min="9993" max="9993" width="17" style="34" customWidth="1"/>
    <col min="9994" max="9994" width="20.6640625" style="34" customWidth="1"/>
    <col min="9995" max="9995" width="17.88671875" style="34" customWidth="1"/>
    <col min="9996" max="9998" width="10.6640625" style="34" customWidth="1"/>
    <col min="9999" max="10240" width="9.109375" style="34"/>
    <col min="10241" max="10241" width="0" style="34" hidden="1" customWidth="1"/>
    <col min="10242" max="10242" width="7.109375" style="34" customWidth="1"/>
    <col min="10243" max="10243" width="13.44140625" style="34" customWidth="1"/>
    <col min="10244" max="10244" width="19.6640625" style="34" customWidth="1"/>
    <col min="10245" max="10245" width="18.44140625" style="34" customWidth="1"/>
    <col min="10246" max="10246" width="13.109375" style="34" customWidth="1"/>
    <col min="10247" max="10248" width="16.6640625" style="34" customWidth="1"/>
    <col min="10249" max="10249" width="17" style="34" customWidth="1"/>
    <col min="10250" max="10250" width="20.6640625" style="34" customWidth="1"/>
    <col min="10251" max="10251" width="17.88671875" style="34" customWidth="1"/>
    <col min="10252" max="10254" width="10.6640625" style="34" customWidth="1"/>
    <col min="10255" max="10496" width="9.109375" style="34"/>
    <col min="10497" max="10497" width="0" style="34" hidden="1" customWidth="1"/>
    <col min="10498" max="10498" width="7.109375" style="34" customWidth="1"/>
    <col min="10499" max="10499" width="13.44140625" style="34" customWidth="1"/>
    <col min="10500" max="10500" width="19.6640625" style="34" customWidth="1"/>
    <col min="10501" max="10501" width="18.44140625" style="34" customWidth="1"/>
    <col min="10502" max="10502" width="13.109375" style="34" customWidth="1"/>
    <col min="10503" max="10504" width="16.6640625" style="34" customWidth="1"/>
    <col min="10505" max="10505" width="17" style="34" customWidth="1"/>
    <col min="10506" max="10506" width="20.6640625" style="34" customWidth="1"/>
    <col min="10507" max="10507" width="17.88671875" style="34" customWidth="1"/>
    <col min="10508" max="10510" width="10.6640625" style="34" customWidth="1"/>
    <col min="10511" max="10752" width="9.109375" style="34"/>
    <col min="10753" max="10753" width="0" style="34" hidden="1" customWidth="1"/>
    <col min="10754" max="10754" width="7.109375" style="34" customWidth="1"/>
    <col min="10755" max="10755" width="13.44140625" style="34" customWidth="1"/>
    <col min="10756" max="10756" width="19.6640625" style="34" customWidth="1"/>
    <col min="10757" max="10757" width="18.44140625" style="34" customWidth="1"/>
    <col min="10758" max="10758" width="13.109375" style="34" customWidth="1"/>
    <col min="10759" max="10760" width="16.6640625" style="34" customWidth="1"/>
    <col min="10761" max="10761" width="17" style="34" customWidth="1"/>
    <col min="10762" max="10762" width="20.6640625" style="34" customWidth="1"/>
    <col min="10763" max="10763" width="17.88671875" style="34" customWidth="1"/>
    <col min="10764" max="10766" width="10.6640625" style="34" customWidth="1"/>
    <col min="10767" max="11008" width="9.109375" style="34"/>
    <col min="11009" max="11009" width="0" style="34" hidden="1" customWidth="1"/>
    <col min="11010" max="11010" width="7.109375" style="34" customWidth="1"/>
    <col min="11011" max="11011" width="13.44140625" style="34" customWidth="1"/>
    <col min="11012" max="11012" width="19.6640625" style="34" customWidth="1"/>
    <col min="11013" max="11013" width="18.44140625" style="34" customWidth="1"/>
    <col min="11014" max="11014" width="13.109375" style="34" customWidth="1"/>
    <col min="11015" max="11016" width="16.6640625" style="34" customWidth="1"/>
    <col min="11017" max="11017" width="17" style="34" customWidth="1"/>
    <col min="11018" max="11018" width="20.6640625" style="34" customWidth="1"/>
    <col min="11019" max="11019" width="17.88671875" style="34" customWidth="1"/>
    <col min="11020" max="11022" width="10.6640625" style="34" customWidth="1"/>
    <col min="11023" max="11264" width="9.109375" style="34"/>
    <col min="11265" max="11265" width="0" style="34" hidden="1" customWidth="1"/>
    <col min="11266" max="11266" width="7.109375" style="34" customWidth="1"/>
    <col min="11267" max="11267" width="13.44140625" style="34" customWidth="1"/>
    <col min="11268" max="11268" width="19.6640625" style="34" customWidth="1"/>
    <col min="11269" max="11269" width="18.44140625" style="34" customWidth="1"/>
    <col min="11270" max="11270" width="13.109375" style="34" customWidth="1"/>
    <col min="11271" max="11272" width="16.6640625" style="34" customWidth="1"/>
    <col min="11273" max="11273" width="17" style="34" customWidth="1"/>
    <col min="11274" max="11274" width="20.6640625" style="34" customWidth="1"/>
    <col min="11275" max="11275" width="17.88671875" style="34" customWidth="1"/>
    <col min="11276" max="11278" width="10.6640625" style="34" customWidth="1"/>
    <col min="11279" max="11520" width="9.109375" style="34"/>
    <col min="11521" max="11521" width="0" style="34" hidden="1" customWidth="1"/>
    <col min="11522" max="11522" width="7.109375" style="34" customWidth="1"/>
    <col min="11523" max="11523" width="13.44140625" style="34" customWidth="1"/>
    <col min="11524" max="11524" width="19.6640625" style="34" customWidth="1"/>
    <col min="11525" max="11525" width="18.44140625" style="34" customWidth="1"/>
    <col min="11526" max="11526" width="13.109375" style="34" customWidth="1"/>
    <col min="11527" max="11528" width="16.6640625" style="34" customWidth="1"/>
    <col min="11529" max="11529" width="17" style="34" customWidth="1"/>
    <col min="11530" max="11530" width="20.6640625" style="34" customWidth="1"/>
    <col min="11531" max="11531" width="17.88671875" style="34" customWidth="1"/>
    <col min="11532" max="11534" width="10.6640625" style="34" customWidth="1"/>
    <col min="11535" max="11776" width="9.109375" style="34"/>
    <col min="11777" max="11777" width="0" style="34" hidden="1" customWidth="1"/>
    <col min="11778" max="11778" width="7.109375" style="34" customWidth="1"/>
    <col min="11779" max="11779" width="13.44140625" style="34" customWidth="1"/>
    <col min="11780" max="11780" width="19.6640625" style="34" customWidth="1"/>
    <col min="11781" max="11781" width="18.44140625" style="34" customWidth="1"/>
    <col min="11782" max="11782" width="13.109375" style="34" customWidth="1"/>
    <col min="11783" max="11784" width="16.6640625" style="34" customWidth="1"/>
    <col min="11785" max="11785" width="17" style="34" customWidth="1"/>
    <col min="11786" max="11786" width="20.6640625" style="34" customWidth="1"/>
    <col min="11787" max="11787" width="17.88671875" style="34" customWidth="1"/>
    <col min="11788" max="11790" width="10.6640625" style="34" customWidth="1"/>
    <col min="11791" max="12032" width="9.109375" style="34"/>
    <col min="12033" max="12033" width="0" style="34" hidden="1" customWidth="1"/>
    <col min="12034" max="12034" width="7.109375" style="34" customWidth="1"/>
    <col min="12035" max="12035" width="13.44140625" style="34" customWidth="1"/>
    <col min="12036" max="12036" width="19.6640625" style="34" customWidth="1"/>
    <col min="12037" max="12037" width="18.44140625" style="34" customWidth="1"/>
    <col min="12038" max="12038" width="13.109375" style="34" customWidth="1"/>
    <col min="12039" max="12040" width="16.6640625" style="34" customWidth="1"/>
    <col min="12041" max="12041" width="17" style="34" customWidth="1"/>
    <col min="12042" max="12042" width="20.6640625" style="34" customWidth="1"/>
    <col min="12043" max="12043" width="17.88671875" style="34" customWidth="1"/>
    <col min="12044" max="12046" width="10.6640625" style="34" customWidth="1"/>
    <col min="12047" max="12288" width="9.109375" style="34"/>
    <col min="12289" max="12289" width="0" style="34" hidden="1" customWidth="1"/>
    <col min="12290" max="12290" width="7.109375" style="34" customWidth="1"/>
    <col min="12291" max="12291" width="13.44140625" style="34" customWidth="1"/>
    <col min="12292" max="12292" width="19.6640625" style="34" customWidth="1"/>
    <col min="12293" max="12293" width="18.44140625" style="34" customWidth="1"/>
    <col min="12294" max="12294" width="13.109375" style="34" customWidth="1"/>
    <col min="12295" max="12296" width="16.6640625" style="34" customWidth="1"/>
    <col min="12297" max="12297" width="17" style="34" customWidth="1"/>
    <col min="12298" max="12298" width="20.6640625" style="34" customWidth="1"/>
    <col min="12299" max="12299" width="17.88671875" style="34" customWidth="1"/>
    <col min="12300" max="12302" width="10.6640625" style="34" customWidth="1"/>
    <col min="12303" max="12544" width="9.109375" style="34"/>
    <col min="12545" max="12545" width="0" style="34" hidden="1" customWidth="1"/>
    <col min="12546" max="12546" width="7.109375" style="34" customWidth="1"/>
    <col min="12547" max="12547" width="13.44140625" style="34" customWidth="1"/>
    <col min="12548" max="12548" width="19.6640625" style="34" customWidth="1"/>
    <col min="12549" max="12549" width="18.44140625" style="34" customWidth="1"/>
    <col min="12550" max="12550" width="13.109375" style="34" customWidth="1"/>
    <col min="12551" max="12552" width="16.6640625" style="34" customWidth="1"/>
    <col min="12553" max="12553" width="17" style="34" customWidth="1"/>
    <col min="12554" max="12554" width="20.6640625" style="34" customWidth="1"/>
    <col min="12555" max="12555" width="17.88671875" style="34" customWidth="1"/>
    <col min="12556" max="12558" width="10.6640625" style="34" customWidth="1"/>
    <col min="12559" max="12800" width="9.109375" style="34"/>
    <col min="12801" max="12801" width="0" style="34" hidden="1" customWidth="1"/>
    <col min="12802" max="12802" width="7.109375" style="34" customWidth="1"/>
    <col min="12803" max="12803" width="13.44140625" style="34" customWidth="1"/>
    <col min="12804" max="12804" width="19.6640625" style="34" customWidth="1"/>
    <col min="12805" max="12805" width="18.44140625" style="34" customWidth="1"/>
    <col min="12806" max="12806" width="13.109375" style="34" customWidth="1"/>
    <col min="12807" max="12808" width="16.6640625" style="34" customWidth="1"/>
    <col min="12809" max="12809" width="17" style="34" customWidth="1"/>
    <col min="12810" max="12810" width="20.6640625" style="34" customWidth="1"/>
    <col min="12811" max="12811" width="17.88671875" style="34" customWidth="1"/>
    <col min="12812" max="12814" width="10.6640625" style="34" customWidth="1"/>
    <col min="12815" max="13056" width="9.109375" style="34"/>
    <col min="13057" max="13057" width="0" style="34" hidden="1" customWidth="1"/>
    <col min="13058" max="13058" width="7.109375" style="34" customWidth="1"/>
    <col min="13059" max="13059" width="13.44140625" style="34" customWidth="1"/>
    <col min="13060" max="13060" width="19.6640625" style="34" customWidth="1"/>
    <col min="13061" max="13061" width="18.44140625" style="34" customWidth="1"/>
    <col min="13062" max="13062" width="13.109375" style="34" customWidth="1"/>
    <col min="13063" max="13064" width="16.6640625" style="34" customWidth="1"/>
    <col min="13065" max="13065" width="17" style="34" customWidth="1"/>
    <col min="13066" max="13066" width="20.6640625" style="34" customWidth="1"/>
    <col min="13067" max="13067" width="17.88671875" style="34" customWidth="1"/>
    <col min="13068" max="13070" width="10.6640625" style="34" customWidth="1"/>
    <col min="13071" max="13312" width="9.109375" style="34"/>
    <col min="13313" max="13313" width="0" style="34" hidden="1" customWidth="1"/>
    <col min="13314" max="13314" width="7.109375" style="34" customWidth="1"/>
    <col min="13315" max="13315" width="13.44140625" style="34" customWidth="1"/>
    <col min="13316" max="13316" width="19.6640625" style="34" customWidth="1"/>
    <col min="13317" max="13317" width="18.44140625" style="34" customWidth="1"/>
    <col min="13318" max="13318" width="13.109375" style="34" customWidth="1"/>
    <col min="13319" max="13320" width="16.6640625" style="34" customWidth="1"/>
    <col min="13321" max="13321" width="17" style="34" customWidth="1"/>
    <col min="13322" max="13322" width="20.6640625" style="34" customWidth="1"/>
    <col min="13323" max="13323" width="17.88671875" style="34" customWidth="1"/>
    <col min="13324" max="13326" width="10.6640625" style="34" customWidth="1"/>
    <col min="13327" max="13568" width="9.109375" style="34"/>
    <col min="13569" max="13569" width="0" style="34" hidden="1" customWidth="1"/>
    <col min="13570" max="13570" width="7.109375" style="34" customWidth="1"/>
    <col min="13571" max="13571" width="13.44140625" style="34" customWidth="1"/>
    <col min="13572" max="13572" width="19.6640625" style="34" customWidth="1"/>
    <col min="13573" max="13573" width="18.44140625" style="34" customWidth="1"/>
    <col min="13574" max="13574" width="13.109375" style="34" customWidth="1"/>
    <col min="13575" max="13576" width="16.6640625" style="34" customWidth="1"/>
    <col min="13577" max="13577" width="17" style="34" customWidth="1"/>
    <col min="13578" max="13578" width="20.6640625" style="34" customWidth="1"/>
    <col min="13579" max="13579" width="17.88671875" style="34" customWidth="1"/>
    <col min="13580" max="13582" width="10.6640625" style="34" customWidth="1"/>
    <col min="13583" max="13824" width="9.109375" style="34"/>
    <col min="13825" max="13825" width="0" style="34" hidden="1" customWidth="1"/>
    <col min="13826" max="13826" width="7.109375" style="34" customWidth="1"/>
    <col min="13827" max="13827" width="13.44140625" style="34" customWidth="1"/>
    <col min="13828" max="13828" width="19.6640625" style="34" customWidth="1"/>
    <col min="13829" max="13829" width="18.44140625" style="34" customWidth="1"/>
    <col min="13830" max="13830" width="13.109375" style="34" customWidth="1"/>
    <col min="13831" max="13832" width="16.6640625" style="34" customWidth="1"/>
    <col min="13833" max="13833" width="17" style="34" customWidth="1"/>
    <col min="13834" max="13834" width="20.6640625" style="34" customWidth="1"/>
    <col min="13835" max="13835" width="17.88671875" style="34" customWidth="1"/>
    <col min="13836" max="13838" width="10.6640625" style="34" customWidth="1"/>
    <col min="13839" max="14080" width="9.109375" style="34"/>
    <col min="14081" max="14081" width="0" style="34" hidden="1" customWidth="1"/>
    <col min="14082" max="14082" width="7.109375" style="34" customWidth="1"/>
    <col min="14083" max="14083" width="13.44140625" style="34" customWidth="1"/>
    <col min="14084" max="14084" width="19.6640625" style="34" customWidth="1"/>
    <col min="14085" max="14085" width="18.44140625" style="34" customWidth="1"/>
    <col min="14086" max="14086" width="13.109375" style="34" customWidth="1"/>
    <col min="14087" max="14088" width="16.6640625" style="34" customWidth="1"/>
    <col min="14089" max="14089" width="17" style="34" customWidth="1"/>
    <col min="14090" max="14090" width="20.6640625" style="34" customWidth="1"/>
    <col min="14091" max="14091" width="17.88671875" style="34" customWidth="1"/>
    <col min="14092" max="14094" width="10.6640625" style="34" customWidth="1"/>
    <col min="14095" max="14336" width="9.109375" style="34"/>
    <col min="14337" max="14337" width="0" style="34" hidden="1" customWidth="1"/>
    <col min="14338" max="14338" width="7.109375" style="34" customWidth="1"/>
    <col min="14339" max="14339" width="13.44140625" style="34" customWidth="1"/>
    <col min="14340" max="14340" width="19.6640625" style="34" customWidth="1"/>
    <col min="14341" max="14341" width="18.44140625" style="34" customWidth="1"/>
    <col min="14342" max="14342" width="13.109375" style="34" customWidth="1"/>
    <col min="14343" max="14344" width="16.6640625" style="34" customWidth="1"/>
    <col min="14345" max="14345" width="17" style="34" customWidth="1"/>
    <col min="14346" max="14346" width="20.6640625" style="34" customWidth="1"/>
    <col min="14347" max="14347" width="17.88671875" style="34" customWidth="1"/>
    <col min="14348" max="14350" width="10.6640625" style="34" customWidth="1"/>
    <col min="14351" max="14592" width="9.109375" style="34"/>
    <col min="14593" max="14593" width="0" style="34" hidden="1" customWidth="1"/>
    <col min="14594" max="14594" width="7.109375" style="34" customWidth="1"/>
    <col min="14595" max="14595" width="13.44140625" style="34" customWidth="1"/>
    <col min="14596" max="14596" width="19.6640625" style="34" customWidth="1"/>
    <col min="14597" max="14597" width="18.44140625" style="34" customWidth="1"/>
    <col min="14598" max="14598" width="13.109375" style="34" customWidth="1"/>
    <col min="14599" max="14600" width="16.6640625" style="34" customWidth="1"/>
    <col min="14601" max="14601" width="17" style="34" customWidth="1"/>
    <col min="14602" max="14602" width="20.6640625" style="34" customWidth="1"/>
    <col min="14603" max="14603" width="17.88671875" style="34" customWidth="1"/>
    <col min="14604" max="14606" width="10.6640625" style="34" customWidth="1"/>
    <col min="14607" max="14848" width="9.109375" style="34"/>
    <col min="14849" max="14849" width="0" style="34" hidden="1" customWidth="1"/>
    <col min="14850" max="14850" width="7.109375" style="34" customWidth="1"/>
    <col min="14851" max="14851" width="13.44140625" style="34" customWidth="1"/>
    <col min="14852" max="14852" width="19.6640625" style="34" customWidth="1"/>
    <col min="14853" max="14853" width="18.44140625" style="34" customWidth="1"/>
    <col min="14854" max="14854" width="13.109375" style="34" customWidth="1"/>
    <col min="14855" max="14856" width="16.6640625" style="34" customWidth="1"/>
    <col min="14857" max="14857" width="17" style="34" customWidth="1"/>
    <col min="14858" max="14858" width="20.6640625" style="34" customWidth="1"/>
    <col min="14859" max="14859" width="17.88671875" style="34" customWidth="1"/>
    <col min="14860" max="14862" width="10.6640625" style="34" customWidth="1"/>
    <col min="14863" max="15104" width="9.109375" style="34"/>
    <col min="15105" max="15105" width="0" style="34" hidden="1" customWidth="1"/>
    <col min="15106" max="15106" width="7.109375" style="34" customWidth="1"/>
    <col min="15107" max="15107" width="13.44140625" style="34" customWidth="1"/>
    <col min="15108" max="15108" width="19.6640625" style="34" customWidth="1"/>
    <col min="15109" max="15109" width="18.44140625" style="34" customWidth="1"/>
    <col min="15110" max="15110" width="13.109375" style="34" customWidth="1"/>
    <col min="15111" max="15112" width="16.6640625" style="34" customWidth="1"/>
    <col min="15113" max="15113" width="17" style="34" customWidth="1"/>
    <col min="15114" max="15114" width="20.6640625" style="34" customWidth="1"/>
    <col min="15115" max="15115" width="17.88671875" style="34" customWidth="1"/>
    <col min="15116" max="15118" width="10.6640625" style="34" customWidth="1"/>
    <col min="15119" max="15360" width="9.109375" style="34"/>
    <col min="15361" max="15361" width="0" style="34" hidden="1" customWidth="1"/>
    <col min="15362" max="15362" width="7.109375" style="34" customWidth="1"/>
    <col min="15363" max="15363" width="13.44140625" style="34" customWidth="1"/>
    <col min="15364" max="15364" width="19.6640625" style="34" customWidth="1"/>
    <col min="15365" max="15365" width="18.44140625" style="34" customWidth="1"/>
    <col min="15366" max="15366" width="13.109375" style="34" customWidth="1"/>
    <col min="15367" max="15368" width="16.6640625" style="34" customWidth="1"/>
    <col min="15369" max="15369" width="17" style="34" customWidth="1"/>
    <col min="15370" max="15370" width="20.6640625" style="34" customWidth="1"/>
    <col min="15371" max="15371" width="17.88671875" style="34" customWidth="1"/>
    <col min="15372" max="15374" width="10.6640625" style="34" customWidth="1"/>
    <col min="15375" max="15616" width="9.109375" style="34"/>
    <col min="15617" max="15617" width="0" style="34" hidden="1" customWidth="1"/>
    <col min="15618" max="15618" width="7.109375" style="34" customWidth="1"/>
    <col min="15619" max="15619" width="13.44140625" style="34" customWidth="1"/>
    <col min="15620" max="15620" width="19.6640625" style="34" customWidth="1"/>
    <col min="15621" max="15621" width="18.44140625" style="34" customWidth="1"/>
    <col min="15622" max="15622" width="13.109375" style="34" customWidth="1"/>
    <col min="15623" max="15624" width="16.6640625" style="34" customWidth="1"/>
    <col min="15625" max="15625" width="17" style="34" customWidth="1"/>
    <col min="15626" max="15626" width="20.6640625" style="34" customWidth="1"/>
    <col min="15627" max="15627" width="17.88671875" style="34" customWidth="1"/>
    <col min="15628" max="15630" width="10.6640625" style="34" customWidth="1"/>
    <col min="15631" max="15872" width="9.109375" style="34"/>
    <col min="15873" max="15873" width="0" style="34" hidden="1" customWidth="1"/>
    <col min="15874" max="15874" width="7.109375" style="34" customWidth="1"/>
    <col min="15875" max="15875" width="13.44140625" style="34" customWidth="1"/>
    <col min="15876" max="15876" width="19.6640625" style="34" customWidth="1"/>
    <col min="15877" max="15877" width="18.44140625" style="34" customWidth="1"/>
    <col min="15878" max="15878" width="13.109375" style="34" customWidth="1"/>
    <col min="15879" max="15880" width="16.6640625" style="34" customWidth="1"/>
    <col min="15881" max="15881" width="17" style="34" customWidth="1"/>
    <col min="15882" max="15882" width="20.6640625" style="34" customWidth="1"/>
    <col min="15883" max="15883" width="17.88671875" style="34" customWidth="1"/>
    <col min="15884" max="15886" width="10.6640625" style="34" customWidth="1"/>
    <col min="15887" max="16128" width="9.109375" style="34"/>
    <col min="16129" max="16129" width="0" style="34" hidden="1" customWidth="1"/>
    <col min="16130" max="16130" width="7.109375" style="34" customWidth="1"/>
    <col min="16131" max="16131" width="13.44140625" style="34" customWidth="1"/>
    <col min="16132" max="16132" width="19.6640625" style="34" customWidth="1"/>
    <col min="16133" max="16133" width="18.44140625" style="34" customWidth="1"/>
    <col min="16134" max="16134" width="13.109375" style="34" customWidth="1"/>
    <col min="16135" max="16136" width="16.6640625" style="34" customWidth="1"/>
    <col min="16137" max="16137" width="17" style="34" customWidth="1"/>
    <col min="16138" max="16138" width="20.6640625" style="34" customWidth="1"/>
    <col min="16139" max="16139" width="17.88671875" style="34" customWidth="1"/>
    <col min="16140" max="16142" width="10.6640625" style="34" customWidth="1"/>
    <col min="16143" max="16384" width="9.109375" style="34"/>
  </cols>
  <sheetData>
    <row r="1" spans="2:14" ht="12" customHeight="1" x14ac:dyDescent="0.25"/>
    <row r="2" spans="2:14" ht="17.25" customHeight="1" x14ac:dyDescent="0.3">
      <c r="B2" s="437" t="s">
        <v>1225</v>
      </c>
      <c r="C2" s="438"/>
      <c r="D2" s="438"/>
      <c r="E2" s="438"/>
      <c r="F2" s="438"/>
      <c r="G2" s="438"/>
      <c r="H2" s="438"/>
      <c r="I2" s="438"/>
      <c r="J2" s="36"/>
    </row>
    <row r="3" spans="2:14" ht="17.25" customHeight="1" x14ac:dyDescent="0.3">
      <c r="B3" s="117"/>
      <c r="C3" s="118"/>
      <c r="D3" s="118"/>
      <c r="E3" s="118"/>
      <c r="F3" s="118"/>
      <c r="G3" s="118"/>
      <c r="H3" s="118"/>
      <c r="I3" s="118"/>
      <c r="J3" s="36"/>
    </row>
    <row r="4" spans="2:14" ht="12.75" customHeight="1" x14ac:dyDescent="0.25">
      <c r="B4" s="439" t="s">
        <v>712</v>
      </c>
      <c r="C4" s="438"/>
      <c r="D4" s="438"/>
      <c r="E4" s="438"/>
      <c r="F4" s="438"/>
      <c r="G4" s="438"/>
      <c r="H4" s="438"/>
      <c r="I4" s="438"/>
    </row>
    <row r="5" spans="2:14" ht="12.75" customHeight="1" x14ac:dyDescent="0.25"/>
    <row r="6" spans="2:14" ht="21" customHeight="1" x14ac:dyDescent="0.25">
      <c r="C6" s="37" t="s">
        <v>28</v>
      </c>
      <c r="D6" s="38" t="s">
        <v>711</v>
      </c>
      <c r="E6" s="39"/>
      <c r="F6" s="39"/>
      <c r="G6" s="39"/>
      <c r="H6" s="39"/>
      <c r="I6" s="40"/>
      <c r="N6" s="41"/>
    </row>
    <row r="7" spans="2:14" ht="13.5" customHeight="1" x14ac:dyDescent="0.25">
      <c r="C7" s="37"/>
      <c r="D7" s="42"/>
      <c r="E7" s="43"/>
      <c r="F7" s="43"/>
      <c r="G7" s="43"/>
      <c r="H7" s="44"/>
      <c r="I7" s="40"/>
      <c r="N7" s="41"/>
    </row>
    <row r="8" spans="2:14" x14ac:dyDescent="0.25">
      <c r="C8" s="45" t="s">
        <v>29</v>
      </c>
      <c r="D8" s="46" t="s">
        <v>169</v>
      </c>
      <c r="H8" s="47"/>
      <c r="J8" s="46"/>
    </row>
    <row r="9" spans="2:14" x14ac:dyDescent="0.25">
      <c r="C9" s="46"/>
      <c r="D9" s="46"/>
      <c r="H9" s="47"/>
      <c r="J9" s="46"/>
    </row>
    <row r="10" spans="2:14" x14ac:dyDescent="0.25">
      <c r="C10" s="45" t="s">
        <v>30</v>
      </c>
      <c r="D10" s="122" t="s">
        <v>170</v>
      </c>
      <c r="H10" s="47"/>
      <c r="J10" s="46"/>
    </row>
    <row r="11" spans="2:14" x14ac:dyDescent="0.25">
      <c r="D11" s="46"/>
      <c r="H11" s="47"/>
      <c r="J11" s="46"/>
    </row>
    <row r="12" spans="2:14" ht="24.75" customHeight="1" x14ac:dyDescent="0.25">
      <c r="C12" s="119" t="s">
        <v>31</v>
      </c>
      <c r="H12" s="119" t="s">
        <v>32</v>
      </c>
    </row>
    <row r="13" spans="2:14" ht="12.75" customHeight="1" x14ac:dyDescent="0.25"/>
    <row r="14" spans="2:14" ht="28.5" customHeight="1" x14ac:dyDescent="0.25">
      <c r="C14" s="119" t="s">
        <v>33</v>
      </c>
      <c r="H14" s="119" t="s">
        <v>33</v>
      </c>
    </row>
    <row r="15" spans="2:14" ht="25.5" customHeight="1" x14ac:dyDescent="0.25"/>
    <row r="16" spans="2:14" ht="13.5" customHeight="1" x14ac:dyDescent="0.25">
      <c r="B16" s="48"/>
      <c r="C16" s="49"/>
      <c r="D16" s="49"/>
      <c r="E16" s="50"/>
      <c r="F16" s="51"/>
      <c r="G16" s="52"/>
      <c r="H16" s="53"/>
      <c r="I16" s="54" t="s">
        <v>34</v>
      </c>
      <c r="J16" s="55"/>
    </row>
    <row r="17" spans="1:12" ht="15" customHeight="1" x14ac:dyDescent="0.25">
      <c r="B17" s="56" t="s">
        <v>35</v>
      </c>
      <c r="C17" s="57"/>
      <c r="D17" s="58">
        <v>15</v>
      </c>
      <c r="E17" s="59" t="s">
        <v>21</v>
      </c>
      <c r="F17" s="60"/>
      <c r="G17" s="61"/>
      <c r="H17" s="61"/>
      <c r="I17" s="62"/>
      <c r="J17" s="63"/>
    </row>
    <row r="18" spans="1:12" x14ac:dyDescent="0.25">
      <c r="B18" s="56" t="s">
        <v>36</v>
      </c>
      <c r="C18" s="57"/>
      <c r="D18" s="58">
        <v>15</v>
      </c>
      <c r="E18" s="59" t="s">
        <v>21</v>
      </c>
      <c r="F18" s="64"/>
      <c r="G18" s="65"/>
      <c r="H18" s="65"/>
      <c r="I18" s="66"/>
      <c r="J18" s="63"/>
    </row>
    <row r="19" spans="1:12" x14ac:dyDescent="0.25">
      <c r="B19" s="56" t="s">
        <v>35</v>
      </c>
      <c r="C19" s="57"/>
      <c r="D19" s="58">
        <v>21</v>
      </c>
      <c r="E19" s="59" t="s">
        <v>21</v>
      </c>
      <c r="F19" s="64"/>
      <c r="G19" s="65"/>
      <c r="H19" s="65"/>
      <c r="I19" s="66">
        <f>StavbaCelkem</f>
        <v>0</v>
      </c>
      <c r="J19" s="63"/>
    </row>
    <row r="20" spans="1:12" ht="13.8" thickBot="1" x14ac:dyDescent="0.3">
      <c r="B20" s="56" t="s">
        <v>36</v>
      </c>
      <c r="C20" s="57"/>
      <c r="D20" s="58">
        <v>21</v>
      </c>
      <c r="E20" s="59" t="s">
        <v>21</v>
      </c>
      <c r="F20" s="67"/>
      <c r="G20" s="68"/>
      <c r="H20" s="68"/>
      <c r="I20" s="69">
        <f>I37</f>
        <v>0</v>
      </c>
      <c r="J20" s="63"/>
    </row>
    <row r="21" spans="1:12" ht="16.2" thickBot="1" x14ac:dyDescent="0.3">
      <c r="A21" s="153"/>
      <c r="B21" s="154" t="s">
        <v>37</v>
      </c>
      <c r="C21" s="155"/>
      <c r="D21" s="155"/>
      <c r="E21" s="156"/>
      <c r="F21" s="157"/>
      <c r="G21" s="158"/>
      <c r="H21" s="158"/>
      <c r="I21" s="159">
        <f>SUM(I17:I20)</f>
        <v>0</v>
      </c>
      <c r="J21" s="70"/>
    </row>
    <row r="23" spans="1:12" x14ac:dyDescent="0.25">
      <c r="J23" s="71"/>
    </row>
    <row r="24" spans="1:12" ht="1.5" customHeight="1" x14ac:dyDescent="0.25"/>
    <row r="25" spans="1:12" ht="15.75" customHeight="1" x14ac:dyDescent="0.3">
      <c r="B25" s="72" t="s">
        <v>38</v>
      </c>
      <c r="C25" s="117"/>
      <c r="D25" s="117"/>
      <c r="E25" s="117"/>
      <c r="F25" s="117"/>
      <c r="G25" s="117"/>
      <c r="H25" s="117"/>
      <c r="I25" s="117"/>
      <c r="J25" s="73"/>
      <c r="K25" s="74"/>
    </row>
    <row r="26" spans="1:12" ht="5.25" customHeight="1" x14ac:dyDescent="0.25">
      <c r="K26" s="74"/>
    </row>
    <row r="27" spans="1:12" ht="24" customHeight="1" x14ac:dyDescent="0.25">
      <c r="B27" s="75" t="s">
        <v>39</v>
      </c>
      <c r="C27" s="76"/>
      <c r="D27" s="76"/>
      <c r="E27" s="77"/>
      <c r="F27" s="78" t="s">
        <v>7</v>
      </c>
      <c r="G27" s="79" t="str">
        <f>CONCATENATE("Základ DPH ",SazbaDPH1," %")</f>
        <v>Základ DPH 15 %</v>
      </c>
      <c r="H27" s="78" t="str">
        <f>CONCATENATE("Základ DPH ",SazbaDPH2," %")</f>
        <v>Základ DPH 21 %</v>
      </c>
      <c r="I27" s="78" t="s">
        <v>40</v>
      </c>
    </row>
    <row r="28" spans="1:12" x14ac:dyDescent="0.25">
      <c r="B28" s="80" t="s">
        <v>22</v>
      </c>
      <c r="C28" s="81"/>
      <c r="D28" s="82"/>
      <c r="E28" s="83"/>
      <c r="F28" s="84"/>
      <c r="G28" s="85"/>
      <c r="H28" s="85"/>
      <c r="I28" s="86"/>
      <c r="K28" s="87"/>
    </row>
    <row r="29" spans="1:12" x14ac:dyDescent="0.25">
      <c r="B29" s="88"/>
      <c r="C29" s="440" t="s">
        <v>41</v>
      </c>
      <c r="D29" s="441"/>
      <c r="E29" s="442"/>
      <c r="F29" s="89">
        <f t="shared" ref="F29:F36" si="0">H29+I29</f>
        <v>0</v>
      </c>
      <c r="G29" s="89"/>
      <c r="H29" s="90">
        <f>VRN!G22</f>
        <v>0</v>
      </c>
      <c r="I29" s="91">
        <f t="shared" ref="I29:I30" si="1">(G29*SazbaDPH1)/100+(H29*SazbaDPH2)/100</f>
        <v>0</v>
      </c>
      <c r="K29" s="92"/>
      <c r="L29" s="92"/>
    </row>
    <row r="30" spans="1:12" x14ac:dyDescent="0.25">
      <c r="B30" s="88"/>
      <c r="C30" s="152" t="s">
        <v>93</v>
      </c>
      <c r="D30" s="120"/>
      <c r="E30" s="121"/>
      <c r="F30" s="89">
        <f t="shared" si="0"/>
        <v>0</v>
      </c>
      <c r="G30" s="89"/>
      <c r="H30" s="90">
        <f>'Stavební  část'!H396</f>
        <v>0</v>
      </c>
      <c r="I30" s="91">
        <f t="shared" si="1"/>
        <v>0</v>
      </c>
      <c r="K30" s="92"/>
      <c r="L30" s="92"/>
    </row>
    <row r="31" spans="1:12" x14ac:dyDescent="0.25">
      <c r="A31" s="100"/>
      <c r="B31" s="227"/>
      <c r="C31" s="228" t="s">
        <v>1026</v>
      </c>
      <c r="D31" s="229"/>
      <c r="E31" s="230"/>
      <c r="F31" s="90">
        <f t="shared" si="0"/>
        <v>0</v>
      </c>
      <c r="G31" s="90"/>
      <c r="H31" s="90">
        <f>'Gastro zařízení'!J57</f>
        <v>0</v>
      </c>
      <c r="I31" s="231">
        <f t="shared" ref="I31:I36" si="2">(G31*SazbaDPH1)/100+(H31*SazbaDPH2)/100</f>
        <v>0</v>
      </c>
      <c r="K31" s="92"/>
      <c r="L31" s="92"/>
    </row>
    <row r="32" spans="1:12" x14ac:dyDescent="0.25">
      <c r="A32" s="100"/>
      <c r="B32" s="227"/>
      <c r="C32" s="228" t="s">
        <v>1027</v>
      </c>
      <c r="D32" s="229"/>
      <c r="E32" s="230"/>
      <c r="F32" s="90">
        <f t="shared" si="0"/>
        <v>0</v>
      </c>
      <c r="G32" s="90"/>
      <c r="H32" s="90">
        <f>Zdravotechnika!G93</f>
        <v>0</v>
      </c>
      <c r="I32" s="231">
        <f t="shared" si="2"/>
        <v>0</v>
      </c>
      <c r="K32" s="92"/>
      <c r="L32" s="92"/>
    </row>
    <row r="33" spans="1:15" x14ac:dyDescent="0.25">
      <c r="A33" s="100"/>
      <c r="B33" s="227"/>
      <c r="C33" s="228" t="s">
        <v>97</v>
      </c>
      <c r="D33" s="229"/>
      <c r="E33" s="230"/>
      <c r="F33" s="90">
        <f t="shared" si="0"/>
        <v>0</v>
      </c>
      <c r="G33" s="90"/>
      <c r="H33" s="90">
        <f>Vzduchotechnika!G51</f>
        <v>0</v>
      </c>
      <c r="I33" s="231">
        <f t="shared" si="2"/>
        <v>0</v>
      </c>
      <c r="K33" s="92"/>
      <c r="L33" s="92"/>
    </row>
    <row r="34" spans="1:15" x14ac:dyDescent="0.25">
      <c r="A34" s="100"/>
      <c r="B34" s="227"/>
      <c r="C34" s="228" t="s">
        <v>492</v>
      </c>
      <c r="D34" s="229"/>
      <c r="E34" s="230"/>
      <c r="F34" s="90">
        <f t="shared" si="0"/>
        <v>0</v>
      </c>
      <c r="G34" s="90"/>
      <c r="H34" s="90">
        <f>Vytápění!G50</f>
        <v>0</v>
      </c>
      <c r="I34" s="231">
        <f t="shared" si="2"/>
        <v>0</v>
      </c>
      <c r="K34" s="92"/>
      <c r="L34" s="92"/>
    </row>
    <row r="35" spans="1:15" x14ac:dyDescent="0.25">
      <c r="A35" s="100"/>
      <c r="B35" s="227"/>
      <c r="C35" s="228" t="s">
        <v>491</v>
      </c>
      <c r="D35" s="229"/>
      <c r="E35" s="230"/>
      <c r="F35" s="90">
        <f t="shared" si="0"/>
        <v>0</v>
      </c>
      <c r="G35" s="90"/>
      <c r="H35" s="90">
        <f>Slaboproud!E173</f>
        <v>0</v>
      </c>
      <c r="I35" s="231">
        <f t="shared" si="2"/>
        <v>0</v>
      </c>
      <c r="K35" s="92"/>
      <c r="L35" s="92"/>
    </row>
    <row r="36" spans="1:15" x14ac:dyDescent="0.25">
      <c r="A36" s="100"/>
      <c r="B36" s="227"/>
      <c r="C36" s="228" t="s">
        <v>490</v>
      </c>
      <c r="D36" s="229"/>
      <c r="E36" s="230"/>
      <c r="F36" s="90">
        <f t="shared" si="0"/>
        <v>0</v>
      </c>
      <c r="G36" s="90"/>
      <c r="H36" s="90">
        <f>Silnoproud!G217+Silnoproud!G96</f>
        <v>0</v>
      </c>
      <c r="I36" s="231">
        <f t="shared" si="2"/>
        <v>0</v>
      </c>
      <c r="K36" s="92"/>
      <c r="L36" s="92"/>
    </row>
    <row r="37" spans="1:15" ht="17.25" customHeight="1" x14ac:dyDescent="0.25">
      <c r="A37" s="116"/>
      <c r="B37" s="160" t="s">
        <v>42</v>
      </c>
      <c r="C37" s="161"/>
      <c r="D37" s="162"/>
      <c r="E37" s="163"/>
      <c r="F37" s="164">
        <f>SUM(F29:F36)</f>
        <v>0</v>
      </c>
      <c r="G37" s="164"/>
      <c r="H37" s="164">
        <f>SUM(H29:H36)</f>
        <v>0</v>
      </c>
      <c r="I37" s="164">
        <f>SUM(I29:I36)</f>
        <v>0</v>
      </c>
    </row>
    <row r="38" spans="1:15" s="100" customFormat="1" ht="17.25" customHeight="1" x14ac:dyDescent="0.25">
      <c r="B38" s="101"/>
      <c r="C38" s="102"/>
      <c r="D38" s="101"/>
      <c r="E38" s="103"/>
      <c r="F38" s="104"/>
      <c r="G38" s="104"/>
      <c r="H38" s="104"/>
      <c r="I38" s="104"/>
    </row>
    <row r="39" spans="1:15" ht="17.399999999999999" x14ac:dyDescent="0.3">
      <c r="B39" s="72" t="s">
        <v>24</v>
      </c>
      <c r="C39" s="117"/>
      <c r="D39" s="117"/>
      <c r="E39" s="117"/>
      <c r="F39" s="117"/>
      <c r="G39" s="117"/>
      <c r="H39" s="117"/>
      <c r="I39" s="117"/>
    </row>
    <row r="40" spans="1:15" s="93" customFormat="1" ht="26.25" customHeight="1" x14ac:dyDescent="0.25">
      <c r="A40" s="443" t="s">
        <v>43</v>
      </c>
      <c r="B40" s="444"/>
      <c r="C40" s="444"/>
      <c r="D40" s="444"/>
      <c r="E40" s="444"/>
      <c r="F40" s="444"/>
      <c r="G40" s="444"/>
      <c r="H40" s="444"/>
      <c r="I40" s="444"/>
    </row>
    <row r="41" spans="1:15" s="96" customFormat="1" ht="44.25" customHeight="1" x14ac:dyDescent="0.2">
      <c r="A41" s="445" t="s">
        <v>44</v>
      </c>
      <c r="B41" s="435"/>
      <c r="C41" s="435"/>
      <c r="D41" s="435"/>
      <c r="E41" s="435"/>
      <c r="F41" s="435"/>
      <c r="G41" s="435"/>
      <c r="H41" s="436"/>
      <c r="I41" s="436"/>
      <c r="J41" s="94"/>
      <c r="K41" s="95"/>
      <c r="M41" s="97"/>
      <c r="O41" s="98"/>
    </row>
    <row r="42" spans="1:15" s="96" customFormat="1" ht="24.6" customHeight="1" x14ac:dyDescent="0.2">
      <c r="A42" s="434" t="s">
        <v>687</v>
      </c>
      <c r="B42" s="435"/>
      <c r="C42" s="435"/>
      <c r="D42" s="435"/>
      <c r="E42" s="435"/>
      <c r="F42" s="435"/>
      <c r="G42" s="435"/>
      <c r="H42" s="436"/>
      <c r="I42" s="436"/>
      <c r="J42" s="94"/>
      <c r="K42" s="95"/>
      <c r="M42" s="99"/>
    </row>
  </sheetData>
  <sheetProtection algorithmName="SHA-512" hashValue="UbGYK1iNSHbY6HRCLAdTwcQhkHB03tn8fZuJ0wFqclG3IlkSukTMcfidsGQA1FZ2deyisFxjp9uAiWrS5PN3iw==" saltValue="Lhp53wLHmJI4GQjQioZvKQ==" spinCount="100000" sheet="1" objects="1" scenarios="1"/>
  <mergeCells count="6">
    <mergeCell ref="A42:I42"/>
    <mergeCell ref="B2:I2"/>
    <mergeCell ref="B4:I4"/>
    <mergeCell ref="C29:E29"/>
    <mergeCell ref="A40:I40"/>
    <mergeCell ref="A41:I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F20" sqref="F20"/>
    </sheetView>
  </sheetViews>
  <sheetFormatPr defaultColWidth="8.88671875" defaultRowHeight="14.4" x14ac:dyDescent="0.3"/>
  <cols>
    <col min="1" max="1" width="3.6640625" customWidth="1"/>
    <col min="2" max="2" width="11.6640625" customWidth="1"/>
    <col min="3" max="3" width="40.6640625" customWidth="1"/>
    <col min="4" max="4" width="10.6640625" customWidth="1"/>
    <col min="5" max="6" width="13.6640625" customWidth="1"/>
    <col min="7" max="7" width="16.6640625" customWidth="1"/>
  </cols>
  <sheetData>
    <row r="1" spans="1:8" ht="21" x14ac:dyDescent="0.4">
      <c r="A1" s="4" t="s">
        <v>432</v>
      </c>
      <c r="B1" s="5"/>
      <c r="C1" s="5"/>
      <c r="D1" s="5"/>
      <c r="E1" s="5"/>
      <c r="F1" s="5"/>
      <c r="G1" s="5"/>
      <c r="H1" s="5"/>
    </row>
    <row r="2" spans="1:8" x14ac:dyDescent="0.3">
      <c r="A2" s="2" t="s">
        <v>713</v>
      </c>
      <c r="B2" s="2"/>
      <c r="C2" s="6"/>
      <c r="D2" s="6"/>
      <c r="E2" s="6"/>
      <c r="F2" s="6"/>
      <c r="G2" s="5"/>
      <c r="H2" s="5"/>
    </row>
    <row r="3" spans="1:8" x14ac:dyDescent="0.3">
      <c r="A3" s="2" t="s">
        <v>171</v>
      </c>
      <c r="B3" s="1"/>
      <c r="C3" s="3"/>
      <c r="D3" s="9"/>
      <c r="E3" s="9"/>
      <c r="F3" s="9"/>
      <c r="G3" s="9"/>
      <c r="H3" s="9"/>
    </row>
    <row r="4" spans="1:8" x14ac:dyDescent="0.3">
      <c r="A4" s="2" t="s">
        <v>90</v>
      </c>
      <c r="B4" s="1"/>
      <c r="C4" s="3"/>
      <c r="D4" s="9"/>
      <c r="E4" s="9"/>
      <c r="F4" s="9"/>
      <c r="G4" s="9"/>
      <c r="H4" s="9"/>
    </row>
    <row r="5" spans="1:8" s="105" customFormat="1" ht="13.2" x14ac:dyDescent="0.25">
      <c r="A5" s="129"/>
      <c r="B5" s="129"/>
      <c r="C5" s="129"/>
      <c r="D5" s="129"/>
      <c r="E5" s="129"/>
      <c r="F5" s="129"/>
      <c r="G5" s="129"/>
    </row>
    <row r="6" spans="1:8" s="105" customFormat="1" ht="24.9" customHeight="1" x14ac:dyDescent="0.25">
      <c r="A6" s="106"/>
      <c r="B6" s="107"/>
      <c r="C6" s="108" t="s">
        <v>41</v>
      </c>
      <c r="D6" s="446" t="s">
        <v>48</v>
      </c>
      <c r="E6" s="447"/>
      <c r="F6" s="447"/>
      <c r="G6" s="448"/>
    </row>
    <row r="7" spans="1:8" s="105" customFormat="1" ht="27" customHeight="1" x14ac:dyDescent="0.25">
      <c r="A7" s="109">
        <v>1</v>
      </c>
      <c r="B7" s="110"/>
      <c r="C7" s="131" t="s">
        <v>49</v>
      </c>
      <c r="D7" s="111" t="s">
        <v>46</v>
      </c>
      <c r="E7" s="112">
        <v>1</v>
      </c>
      <c r="F7" s="306"/>
      <c r="G7" s="112">
        <f>F7*E7</f>
        <v>0</v>
      </c>
    </row>
    <row r="8" spans="1:8" s="105" customFormat="1" ht="13.5" customHeight="1" x14ac:dyDescent="0.25">
      <c r="A8" s="109">
        <v>2</v>
      </c>
      <c r="B8" s="110"/>
      <c r="C8" s="131" t="s">
        <v>50</v>
      </c>
      <c r="D8" s="111" t="s">
        <v>46</v>
      </c>
      <c r="E8" s="112">
        <v>1</v>
      </c>
      <c r="F8" s="306"/>
      <c r="G8" s="112">
        <f t="shared" ref="G8:G20" si="0">F8*E8</f>
        <v>0</v>
      </c>
    </row>
    <row r="9" spans="1:8" s="105" customFormat="1" ht="13.5" customHeight="1" x14ac:dyDescent="0.25">
      <c r="A9" s="109">
        <v>3</v>
      </c>
      <c r="B9" s="110"/>
      <c r="C9" s="131" t="s">
        <v>51</v>
      </c>
      <c r="D9" s="111" t="s">
        <v>46</v>
      </c>
      <c r="E9" s="112">
        <v>1</v>
      </c>
      <c r="F9" s="306"/>
      <c r="G9" s="112">
        <f t="shared" si="0"/>
        <v>0</v>
      </c>
    </row>
    <row r="10" spans="1:8" s="105" customFormat="1" ht="20.399999999999999" x14ac:dyDescent="0.25">
      <c r="A10" s="109">
        <v>4</v>
      </c>
      <c r="B10" s="110"/>
      <c r="C10" s="113" t="s">
        <v>52</v>
      </c>
      <c r="D10" s="111" t="s">
        <v>46</v>
      </c>
      <c r="E10" s="112">
        <v>1</v>
      </c>
      <c r="F10" s="306"/>
      <c r="G10" s="112">
        <f t="shared" si="0"/>
        <v>0</v>
      </c>
    </row>
    <row r="11" spans="1:8" s="105" customFormat="1" ht="20.399999999999999" x14ac:dyDescent="0.25">
      <c r="A11" s="109">
        <v>5</v>
      </c>
      <c r="B11" s="110"/>
      <c r="C11" s="113" t="s">
        <v>53</v>
      </c>
      <c r="D11" s="111" t="s">
        <v>46</v>
      </c>
      <c r="E11" s="112">
        <v>1</v>
      </c>
      <c r="F11" s="306"/>
      <c r="G11" s="112">
        <f t="shared" si="0"/>
        <v>0</v>
      </c>
    </row>
    <row r="12" spans="1:8" s="105" customFormat="1" ht="67.5" customHeight="1" x14ac:dyDescent="0.25">
      <c r="A12" s="109">
        <v>6</v>
      </c>
      <c r="B12" s="110"/>
      <c r="C12" s="114" t="s">
        <v>54</v>
      </c>
      <c r="D12" s="111" t="s">
        <v>46</v>
      </c>
      <c r="E12" s="112">
        <v>1</v>
      </c>
      <c r="F12" s="306"/>
      <c r="G12" s="112">
        <f t="shared" si="0"/>
        <v>0</v>
      </c>
    </row>
    <row r="13" spans="1:8" s="105" customFormat="1" ht="20.399999999999999" x14ac:dyDescent="0.25">
      <c r="A13" s="109">
        <v>7</v>
      </c>
      <c r="B13" s="110"/>
      <c r="C13" s="113" t="s">
        <v>55</v>
      </c>
      <c r="D13" s="111" t="s">
        <v>46</v>
      </c>
      <c r="E13" s="112">
        <v>1</v>
      </c>
      <c r="F13" s="306"/>
      <c r="G13" s="112">
        <f t="shared" si="0"/>
        <v>0</v>
      </c>
    </row>
    <row r="14" spans="1:8" s="105" customFormat="1" ht="40.799999999999997" x14ac:dyDescent="0.25">
      <c r="A14" s="109">
        <v>8</v>
      </c>
      <c r="B14" s="132"/>
      <c r="C14" s="113" t="s">
        <v>56</v>
      </c>
      <c r="D14" s="111" t="s">
        <v>46</v>
      </c>
      <c r="E14" s="112">
        <v>1</v>
      </c>
      <c r="F14" s="306"/>
      <c r="G14" s="112">
        <f t="shared" si="0"/>
        <v>0</v>
      </c>
    </row>
    <row r="15" spans="1:8" s="105" customFormat="1" ht="67.5" customHeight="1" x14ac:dyDescent="0.25">
      <c r="A15" s="109">
        <v>9</v>
      </c>
      <c r="B15" s="133"/>
      <c r="C15" s="134" t="s">
        <v>57</v>
      </c>
      <c r="D15" s="111" t="s">
        <v>46</v>
      </c>
      <c r="E15" s="112">
        <v>1</v>
      </c>
      <c r="F15" s="306"/>
      <c r="G15" s="112">
        <f t="shared" si="0"/>
        <v>0</v>
      </c>
    </row>
    <row r="16" spans="1:8" s="105" customFormat="1" ht="40.5" customHeight="1" x14ac:dyDescent="0.25">
      <c r="A16" s="109">
        <v>10</v>
      </c>
      <c r="B16" s="133"/>
      <c r="C16" s="134" t="s">
        <v>58</v>
      </c>
      <c r="D16" s="111" t="s">
        <v>46</v>
      </c>
      <c r="E16" s="112">
        <v>1</v>
      </c>
      <c r="F16" s="306"/>
      <c r="G16" s="112">
        <f t="shared" si="0"/>
        <v>0</v>
      </c>
    </row>
    <row r="17" spans="1:8" s="105" customFormat="1" ht="20.399999999999999" x14ac:dyDescent="0.25">
      <c r="A17" s="109">
        <v>11</v>
      </c>
      <c r="B17" s="110"/>
      <c r="C17" s="113" t="s">
        <v>59</v>
      </c>
      <c r="D17" s="111" t="s">
        <v>46</v>
      </c>
      <c r="E17" s="112">
        <v>1</v>
      </c>
      <c r="F17" s="306"/>
      <c r="G17" s="112">
        <f t="shared" si="0"/>
        <v>0</v>
      </c>
    </row>
    <row r="18" spans="1:8" s="105" customFormat="1" ht="67.5" customHeight="1" x14ac:dyDescent="0.25">
      <c r="A18" s="109">
        <v>12</v>
      </c>
      <c r="B18" s="135"/>
      <c r="C18" s="136" t="s">
        <v>60</v>
      </c>
      <c r="D18" s="111" t="s">
        <v>46</v>
      </c>
      <c r="E18" s="137">
        <v>1</v>
      </c>
      <c r="F18" s="307"/>
      <c r="G18" s="137">
        <f t="shared" si="0"/>
        <v>0</v>
      </c>
    </row>
    <row r="19" spans="1:8" s="105" customFormat="1" ht="54" customHeight="1" x14ac:dyDescent="0.25">
      <c r="A19" s="109">
        <v>13</v>
      </c>
      <c r="B19" s="110"/>
      <c r="C19" s="113" t="s">
        <v>61</v>
      </c>
      <c r="D19" s="111" t="s">
        <v>46</v>
      </c>
      <c r="E19" s="112">
        <v>1</v>
      </c>
      <c r="F19" s="306"/>
      <c r="G19" s="112">
        <f t="shared" si="0"/>
        <v>0</v>
      </c>
    </row>
    <row r="20" spans="1:8" s="105" customFormat="1" ht="54" customHeight="1" x14ac:dyDescent="0.25">
      <c r="A20" s="109">
        <v>14</v>
      </c>
      <c r="B20" s="138"/>
      <c r="C20" s="115" t="s">
        <v>45</v>
      </c>
      <c r="D20" s="111" t="s">
        <v>46</v>
      </c>
      <c r="E20" s="112">
        <v>1</v>
      </c>
      <c r="F20" s="306"/>
      <c r="G20" s="112">
        <f t="shared" si="0"/>
        <v>0</v>
      </c>
    </row>
    <row r="21" spans="1:8" s="105" customFormat="1" ht="13.5" customHeight="1" x14ac:dyDescent="0.25">
      <c r="A21" s="109"/>
      <c r="B21" s="110"/>
      <c r="C21" s="131"/>
      <c r="D21" s="111"/>
      <c r="E21" s="112"/>
      <c r="F21" s="308"/>
      <c r="G21" s="112"/>
    </row>
    <row r="22" spans="1:8" s="105" customFormat="1" ht="13.5" customHeight="1" x14ac:dyDescent="0.25">
      <c r="A22" s="139"/>
      <c r="B22" s="140" t="s">
        <v>27</v>
      </c>
      <c r="C22" s="141" t="str">
        <f>CONCATENATE(B6," ",C6)</f>
        <v xml:space="preserve"> Vedlejší rozpočtové a ostatní náklady</v>
      </c>
      <c r="D22" s="142"/>
      <c r="E22" s="143"/>
      <c r="F22" s="144"/>
      <c r="G22" s="145">
        <f>SUM(G7:G21)</f>
        <v>0</v>
      </c>
    </row>
    <row r="23" spans="1:8" s="105" customFormat="1" ht="13.2" x14ac:dyDescent="0.25">
      <c r="A23" s="129"/>
      <c r="B23" s="129"/>
      <c r="C23" s="129"/>
      <c r="D23" s="129"/>
      <c r="E23" s="129"/>
      <c r="F23" s="130"/>
      <c r="G23" s="130"/>
    </row>
    <row r="24" spans="1:8" x14ac:dyDescent="0.3">
      <c r="A24" s="25" t="s">
        <v>24</v>
      </c>
      <c r="B24" s="25"/>
      <c r="C24" s="25"/>
      <c r="D24" s="25"/>
      <c r="E24" s="25"/>
      <c r="F24" s="25"/>
      <c r="G24" s="25"/>
      <c r="H24" s="25"/>
    </row>
    <row r="25" spans="1:8" ht="27" customHeight="1" x14ac:dyDescent="0.3">
      <c r="A25" s="449" t="s">
        <v>25</v>
      </c>
      <c r="B25" s="449"/>
      <c r="C25" s="449"/>
      <c r="D25" s="449"/>
      <c r="E25" s="449"/>
      <c r="F25" s="449"/>
      <c r="G25" s="449"/>
      <c r="H25" s="25"/>
    </row>
  </sheetData>
  <sheetProtection algorithmName="SHA-512" hashValue="z1IYCXM0KZpxc125B9AV9UYIPR25TztbqnJeriSQ5gP29lNZN6tPlVTHGzPd9zep08GVyWNgiqYEi7Csne9kmA==" saltValue="IX/r6196ewMvlushE4dfig==" spinCount="100000" sheet="1" objects="1" scenarios="1"/>
  <mergeCells count="2">
    <mergeCell ref="D6:G6"/>
    <mergeCell ref="A25:G25"/>
  </mergeCells>
  <pageMargins left="0.70866141732283472" right="0.70866141732283472" top="0.78740157480314965" bottom="0.78740157480314965" header="0.31496062992125984" footer="0.31496062992125984"/>
  <pageSetup paperSize="9" scale="74" fitToHeight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1"/>
  <sheetViews>
    <sheetView tabSelected="1" zoomScaleNormal="100" workbookViewId="0">
      <selection activeCell="J378" sqref="J378"/>
    </sheetView>
  </sheetViews>
  <sheetFormatPr defaultColWidth="8.88671875" defaultRowHeight="14.4" x14ac:dyDescent="0.3"/>
  <cols>
    <col min="1" max="1" width="6.6640625" style="7" customWidth="1"/>
    <col min="2" max="2" width="4.6640625" style="7" customWidth="1"/>
    <col min="3" max="3" width="13.6640625" style="7" customWidth="1"/>
    <col min="4" max="4" width="64.6640625" style="7" customWidth="1"/>
    <col min="5" max="5" width="6.6640625" style="7" customWidth="1"/>
    <col min="6" max="6" width="8.6640625" style="7" customWidth="1"/>
    <col min="7" max="7" width="10.6640625" style="150" customWidth="1"/>
    <col min="8" max="8" width="13.6640625" style="7" customWidth="1"/>
  </cols>
  <sheetData>
    <row r="1" spans="1:10" ht="21" x14ac:dyDescent="0.4">
      <c r="A1" s="4" t="s">
        <v>432</v>
      </c>
      <c r="B1" s="5"/>
      <c r="C1" s="5"/>
      <c r="D1" s="5"/>
      <c r="E1" s="5"/>
      <c r="F1" s="5"/>
      <c r="G1" s="5"/>
      <c r="H1" s="5"/>
    </row>
    <row r="2" spans="1:10" x14ac:dyDescent="0.3">
      <c r="A2" s="2" t="s">
        <v>713</v>
      </c>
      <c r="B2" s="2"/>
      <c r="C2" s="6"/>
      <c r="D2" s="6"/>
      <c r="E2" s="6"/>
      <c r="F2" s="6"/>
      <c r="G2" s="5"/>
      <c r="H2" s="5"/>
    </row>
    <row r="3" spans="1:10" x14ac:dyDescent="0.3">
      <c r="A3" s="2" t="s">
        <v>171</v>
      </c>
      <c r="B3" s="1"/>
      <c r="C3" s="3"/>
      <c r="D3" s="9"/>
      <c r="E3" s="9"/>
      <c r="F3" s="9"/>
      <c r="G3" s="9"/>
      <c r="H3" s="9"/>
    </row>
    <row r="4" spans="1:10" x14ac:dyDescent="0.3">
      <c r="A4" s="2" t="s">
        <v>91</v>
      </c>
      <c r="B4" s="1"/>
      <c r="C4" s="3"/>
      <c r="D4" s="9"/>
      <c r="E4" s="9"/>
      <c r="F4" s="9"/>
      <c r="G4" s="9"/>
      <c r="H4" s="9"/>
    </row>
    <row r="5" spans="1:10" x14ac:dyDescent="0.3">
      <c r="A5" s="2"/>
      <c r="B5" s="1"/>
      <c r="C5" s="3"/>
      <c r="D5" s="9"/>
      <c r="E5" s="9"/>
      <c r="F5" s="9"/>
      <c r="G5" s="147"/>
      <c r="H5" s="9"/>
    </row>
    <row r="6" spans="1:10" ht="21.6" x14ac:dyDescent="0.3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148" t="s">
        <v>6</v>
      </c>
      <c r="H6" s="8" t="s">
        <v>7</v>
      </c>
    </row>
    <row r="7" spans="1:10" x14ac:dyDescent="0.3">
      <c r="A7" s="8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148" t="s">
        <v>14</v>
      </c>
      <c r="H7" s="8">
        <v>8</v>
      </c>
    </row>
    <row r="8" spans="1:10" x14ac:dyDescent="0.3">
      <c r="A8" s="10"/>
      <c r="B8" s="11"/>
      <c r="C8" s="11" t="s">
        <v>15</v>
      </c>
      <c r="D8" s="11" t="s">
        <v>16</v>
      </c>
      <c r="E8" s="11"/>
      <c r="F8" s="12"/>
      <c r="G8" s="13"/>
      <c r="H8" s="13">
        <f>H9+H38+H51+H70+H74+H107+H160</f>
        <v>0</v>
      </c>
    </row>
    <row r="9" spans="1:10" x14ac:dyDescent="0.3">
      <c r="A9" s="14"/>
      <c r="B9" s="15"/>
      <c r="C9" s="15">
        <v>1</v>
      </c>
      <c r="D9" s="15" t="s">
        <v>98</v>
      </c>
      <c r="E9" s="15"/>
      <c r="F9" s="16"/>
      <c r="G9" s="298"/>
      <c r="H9" s="17">
        <f>SUM(H10:H37)</f>
        <v>0</v>
      </c>
    </row>
    <row r="10" spans="1:10" s="123" customFormat="1" ht="21" x14ac:dyDescent="0.25">
      <c r="A10" s="151">
        <v>1</v>
      </c>
      <c r="B10" s="31">
        <v>113</v>
      </c>
      <c r="C10" s="26">
        <v>113106121</v>
      </c>
      <c r="D10" s="26" t="s">
        <v>205</v>
      </c>
      <c r="E10" s="26" t="s">
        <v>18</v>
      </c>
      <c r="F10" s="27">
        <f>SUM(F11:F11)</f>
        <v>2</v>
      </c>
      <c r="G10" s="299"/>
      <c r="H10" s="28">
        <f>F10*G10</f>
        <v>0</v>
      </c>
      <c r="J10" s="125"/>
    </row>
    <row r="11" spans="1:10" s="126" customFormat="1" ht="13.8" x14ac:dyDescent="0.25">
      <c r="A11" s="188"/>
      <c r="B11" s="26"/>
      <c r="C11" s="26"/>
      <c r="D11" s="29" t="s">
        <v>1117</v>
      </c>
      <c r="E11" s="26"/>
      <c r="F11" s="30">
        <v>2</v>
      </c>
      <c r="G11" s="299"/>
      <c r="H11" s="28"/>
      <c r="J11" s="125"/>
    </row>
    <row r="12" spans="1:10" s="123" customFormat="1" ht="13.8" x14ac:dyDescent="0.25">
      <c r="A12" s="151" t="s">
        <v>9</v>
      </c>
      <c r="B12" s="31" t="s">
        <v>101</v>
      </c>
      <c r="C12" s="26">
        <v>131213711</v>
      </c>
      <c r="D12" s="26" t="s">
        <v>202</v>
      </c>
      <c r="E12" s="26" t="s">
        <v>17</v>
      </c>
      <c r="F12" s="27">
        <f>SUM(F13:F15)</f>
        <v>16.974999999999998</v>
      </c>
      <c r="G12" s="299"/>
      <c r="H12" s="28">
        <f>F12*G12</f>
        <v>0</v>
      </c>
      <c r="J12" s="125"/>
    </row>
    <row r="13" spans="1:10" s="126" customFormat="1" ht="13.8" x14ac:dyDescent="0.25">
      <c r="A13" s="188"/>
      <c r="B13" s="26"/>
      <c r="C13" s="26"/>
      <c r="D13" s="29" t="s">
        <v>1085</v>
      </c>
      <c r="E13" s="26"/>
      <c r="F13" s="30">
        <f>50*0.4*0.5</f>
        <v>10</v>
      </c>
      <c r="G13" s="299"/>
      <c r="H13" s="28"/>
      <c r="J13" s="125"/>
    </row>
    <row r="14" spans="1:10" s="126" customFormat="1" ht="13.8" x14ac:dyDescent="0.25">
      <c r="A14" s="188"/>
      <c r="B14" s="26"/>
      <c r="C14" s="26"/>
      <c r="D14" s="29" t="s">
        <v>1214</v>
      </c>
      <c r="E14" s="26"/>
      <c r="F14" s="30">
        <f>0.5*0.5*(9+15.3)</f>
        <v>6.0750000000000002</v>
      </c>
      <c r="G14" s="299"/>
      <c r="H14" s="28"/>
      <c r="J14" s="125"/>
    </row>
    <row r="15" spans="1:10" s="126" customFormat="1" ht="13.8" x14ac:dyDescent="0.25">
      <c r="A15" s="188"/>
      <c r="B15" s="26"/>
      <c r="C15" s="26"/>
      <c r="D15" s="29" t="s">
        <v>1118</v>
      </c>
      <c r="E15" s="26"/>
      <c r="F15" s="30">
        <f>1.5*1*0.6</f>
        <v>0.89999999999999991</v>
      </c>
      <c r="G15" s="299"/>
      <c r="H15" s="28"/>
      <c r="J15" s="125"/>
    </row>
    <row r="16" spans="1:10" s="123" customFormat="1" ht="13.8" x14ac:dyDescent="0.25">
      <c r="A16" s="151" t="s">
        <v>10</v>
      </c>
      <c r="B16" s="31">
        <v>151</v>
      </c>
      <c r="C16" s="26" t="s">
        <v>688</v>
      </c>
      <c r="D16" s="26" t="s">
        <v>689</v>
      </c>
      <c r="E16" s="26" t="s">
        <v>18</v>
      </c>
      <c r="F16" s="27">
        <v>52</v>
      </c>
      <c r="G16" s="299"/>
      <c r="H16" s="28">
        <f>F16*G16</f>
        <v>0</v>
      </c>
      <c r="J16" s="125"/>
    </row>
    <row r="17" spans="1:12" s="123" customFormat="1" ht="13.8" x14ac:dyDescent="0.25">
      <c r="A17" s="151" t="s">
        <v>11</v>
      </c>
      <c r="B17" s="31">
        <v>151</v>
      </c>
      <c r="C17" s="26" t="s">
        <v>690</v>
      </c>
      <c r="D17" s="26" t="s">
        <v>691</v>
      </c>
      <c r="E17" s="26" t="s">
        <v>18</v>
      </c>
      <c r="F17" s="27">
        <f>F16</f>
        <v>52</v>
      </c>
      <c r="G17" s="299"/>
      <c r="H17" s="28">
        <f>F17*G17</f>
        <v>0</v>
      </c>
      <c r="J17" s="125"/>
      <c r="L17" s="123" t="s">
        <v>92</v>
      </c>
    </row>
    <row r="18" spans="1:12" s="123" customFormat="1" ht="13.8" x14ac:dyDescent="0.25">
      <c r="A18" s="151" t="s">
        <v>12</v>
      </c>
      <c r="B18" s="31">
        <v>151</v>
      </c>
      <c r="C18" s="26">
        <v>151101301</v>
      </c>
      <c r="D18" s="26" t="s">
        <v>692</v>
      </c>
      <c r="E18" s="26" t="s">
        <v>17</v>
      </c>
      <c r="F18" s="27">
        <v>11</v>
      </c>
      <c r="G18" s="299"/>
      <c r="H18" s="28">
        <f>F18*G18</f>
        <v>0</v>
      </c>
      <c r="J18" s="125"/>
    </row>
    <row r="19" spans="1:12" s="123" customFormat="1" ht="13.8" x14ac:dyDescent="0.25">
      <c r="A19" s="151" t="s">
        <v>13</v>
      </c>
      <c r="B19" s="31">
        <v>151</v>
      </c>
      <c r="C19" s="26" t="s">
        <v>693</v>
      </c>
      <c r="D19" s="26" t="s">
        <v>694</v>
      </c>
      <c r="E19" s="26" t="s">
        <v>17</v>
      </c>
      <c r="F19" s="27">
        <f>F18</f>
        <v>11</v>
      </c>
      <c r="G19" s="299"/>
      <c r="H19" s="28">
        <f>F19*G19</f>
        <v>0</v>
      </c>
      <c r="J19" s="125"/>
    </row>
    <row r="20" spans="1:12" s="123" customFormat="1" ht="13.8" x14ac:dyDescent="0.25">
      <c r="A20" s="151" t="s">
        <v>14</v>
      </c>
      <c r="B20" s="31">
        <v>161</v>
      </c>
      <c r="C20" s="26">
        <v>161151103</v>
      </c>
      <c r="D20" s="26" t="s">
        <v>99</v>
      </c>
      <c r="E20" s="26" t="s">
        <v>17</v>
      </c>
      <c r="F20" s="27">
        <f>F21</f>
        <v>16.974999999999998</v>
      </c>
      <c r="G20" s="299"/>
      <c r="H20" s="28">
        <f>F20*G20</f>
        <v>0</v>
      </c>
      <c r="J20" s="125"/>
    </row>
    <row r="21" spans="1:12" s="126" customFormat="1" ht="13.8" x14ac:dyDescent="0.25">
      <c r="A21" s="188"/>
      <c r="B21" s="26"/>
      <c r="C21" s="26"/>
      <c r="D21" s="29" t="s">
        <v>100</v>
      </c>
      <c r="E21" s="26"/>
      <c r="F21" s="30">
        <f>F12</f>
        <v>16.974999999999998</v>
      </c>
      <c r="G21" s="299"/>
      <c r="H21" s="28"/>
      <c r="J21" s="125"/>
    </row>
    <row r="22" spans="1:12" s="123" customFormat="1" ht="21" x14ac:dyDescent="0.25">
      <c r="A22" s="151" t="s">
        <v>254</v>
      </c>
      <c r="B22" s="31">
        <v>162</v>
      </c>
      <c r="C22" s="26">
        <v>162211311</v>
      </c>
      <c r="D22" s="26" t="s">
        <v>102</v>
      </c>
      <c r="E22" s="26" t="s">
        <v>17</v>
      </c>
      <c r="F22" s="27">
        <f>F23</f>
        <v>16.974999999999998</v>
      </c>
      <c r="G22" s="299"/>
      <c r="H22" s="28">
        <f>F22*G22</f>
        <v>0</v>
      </c>
      <c r="J22" s="125"/>
    </row>
    <row r="23" spans="1:12" s="126" customFormat="1" ht="13.8" x14ac:dyDescent="0.25">
      <c r="A23" s="188"/>
      <c r="B23" s="26"/>
      <c r="C23" s="26"/>
      <c r="D23" s="29" t="s">
        <v>103</v>
      </c>
      <c r="E23" s="26"/>
      <c r="F23" s="30">
        <f>F12</f>
        <v>16.974999999999998</v>
      </c>
      <c r="G23" s="299"/>
      <c r="H23" s="28"/>
      <c r="J23" s="125"/>
    </row>
    <row r="24" spans="1:12" s="123" customFormat="1" ht="27.9" customHeight="1" x14ac:dyDescent="0.25">
      <c r="A24" s="151" t="s">
        <v>255</v>
      </c>
      <c r="B24" s="31">
        <v>162</v>
      </c>
      <c r="C24" s="26" t="s">
        <v>695</v>
      </c>
      <c r="D24" s="26" t="s">
        <v>696</v>
      </c>
      <c r="E24" s="26" t="s">
        <v>17</v>
      </c>
      <c r="F24" s="27">
        <f>F25</f>
        <v>340</v>
      </c>
      <c r="G24" s="299"/>
      <c r="H24" s="28">
        <f>F24*G24</f>
        <v>0</v>
      </c>
      <c r="J24" s="125"/>
    </row>
    <row r="25" spans="1:12" s="126" customFormat="1" ht="13.8" x14ac:dyDescent="0.25">
      <c r="A25" s="188"/>
      <c r="B25" s="26"/>
      <c r="C25" s="26"/>
      <c r="D25" s="29" t="s">
        <v>1215</v>
      </c>
      <c r="E25" s="26"/>
      <c r="F25" s="30">
        <f>20*17</f>
        <v>340</v>
      </c>
      <c r="G25" s="299"/>
      <c r="H25" s="28"/>
      <c r="J25" s="125"/>
    </row>
    <row r="26" spans="1:12" s="123" customFormat="1" ht="21" x14ac:dyDescent="0.25">
      <c r="A26" s="151" t="s">
        <v>165</v>
      </c>
      <c r="B26" s="31">
        <v>162</v>
      </c>
      <c r="C26" s="26" t="s">
        <v>697</v>
      </c>
      <c r="D26" s="26" t="s">
        <v>698</v>
      </c>
      <c r="E26" s="26" t="s">
        <v>17</v>
      </c>
      <c r="F26" s="27">
        <f>F27</f>
        <v>11</v>
      </c>
      <c r="G26" s="299"/>
      <c r="H26" s="28">
        <f>F26*G26</f>
        <v>0</v>
      </c>
      <c r="J26" s="125"/>
    </row>
    <row r="27" spans="1:12" s="126" customFormat="1" ht="13.8" x14ac:dyDescent="0.25">
      <c r="A27" s="188"/>
      <c r="B27" s="26"/>
      <c r="C27" s="26"/>
      <c r="D27" s="29" t="s">
        <v>1211</v>
      </c>
      <c r="E27" s="26"/>
      <c r="F27" s="30">
        <v>11</v>
      </c>
      <c r="G27" s="299"/>
      <c r="H27" s="28"/>
      <c r="J27" s="125"/>
    </row>
    <row r="28" spans="1:12" s="123" customFormat="1" ht="27" customHeight="1" x14ac:dyDescent="0.25">
      <c r="A28" s="151" t="s">
        <v>256</v>
      </c>
      <c r="B28" s="31">
        <v>162</v>
      </c>
      <c r="C28" s="26">
        <v>162751119</v>
      </c>
      <c r="D28" s="26" t="s">
        <v>699</v>
      </c>
      <c r="E28" s="26" t="s">
        <v>17</v>
      </c>
      <c r="F28" s="27">
        <f>F29</f>
        <v>110</v>
      </c>
      <c r="G28" s="299"/>
      <c r="H28" s="28">
        <f>F28*G28</f>
        <v>0</v>
      </c>
      <c r="J28" s="125"/>
    </row>
    <row r="29" spans="1:12" s="126" customFormat="1" ht="13.8" x14ac:dyDescent="0.25">
      <c r="A29" s="188"/>
      <c r="B29" s="26"/>
      <c r="C29" s="26"/>
      <c r="D29" s="29" t="s">
        <v>1212</v>
      </c>
      <c r="E29" s="26"/>
      <c r="F29" s="30">
        <f>10*11</f>
        <v>110</v>
      </c>
      <c r="G29" s="299"/>
      <c r="H29" s="28"/>
      <c r="J29" s="125"/>
    </row>
    <row r="30" spans="1:12" s="123" customFormat="1" ht="13.8" x14ac:dyDescent="0.25">
      <c r="A30" s="151" t="s">
        <v>257</v>
      </c>
      <c r="B30" s="31">
        <v>171</v>
      </c>
      <c r="C30" s="26" t="s">
        <v>700</v>
      </c>
      <c r="D30" s="26" t="s">
        <v>701</v>
      </c>
      <c r="E30" s="26" t="s">
        <v>18</v>
      </c>
      <c r="F30" s="27">
        <f>F31</f>
        <v>5</v>
      </c>
      <c r="G30" s="299"/>
      <c r="H30" s="28">
        <f>F30*G30</f>
        <v>0</v>
      </c>
      <c r="J30" s="125"/>
    </row>
    <row r="31" spans="1:12" s="126" customFormat="1" ht="13.8" x14ac:dyDescent="0.25">
      <c r="A31" s="188"/>
      <c r="B31" s="26"/>
      <c r="C31" s="26"/>
      <c r="D31" s="29" t="s">
        <v>709</v>
      </c>
      <c r="E31" s="26"/>
      <c r="F31" s="30">
        <v>5</v>
      </c>
      <c r="G31" s="299"/>
      <c r="H31" s="28"/>
      <c r="J31" s="125"/>
    </row>
    <row r="32" spans="1:12" s="123" customFormat="1" ht="13.8" x14ac:dyDescent="0.25">
      <c r="A32" s="151" t="s">
        <v>258</v>
      </c>
      <c r="B32" s="31">
        <v>171</v>
      </c>
      <c r="C32" s="26" t="s">
        <v>702</v>
      </c>
      <c r="D32" s="26" t="s">
        <v>703</v>
      </c>
      <c r="E32" s="26" t="s">
        <v>118</v>
      </c>
      <c r="F32" s="27">
        <f>F33</f>
        <v>16.5</v>
      </c>
      <c r="G32" s="299"/>
      <c r="H32" s="28">
        <f>F32*G32</f>
        <v>0</v>
      </c>
      <c r="J32" s="125"/>
    </row>
    <row r="33" spans="1:10" s="126" customFormat="1" ht="13.8" x14ac:dyDescent="0.25">
      <c r="A33" s="188"/>
      <c r="B33" s="26"/>
      <c r="C33" s="26"/>
      <c r="D33" s="29" t="s">
        <v>1213</v>
      </c>
      <c r="E33" s="26"/>
      <c r="F33" s="30">
        <f>11*1.5</f>
        <v>16.5</v>
      </c>
      <c r="G33" s="299"/>
      <c r="H33" s="28"/>
      <c r="J33" s="125"/>
    </row>
    <row r="34" spans="1:10" s="123" customFormat="1" ht="13.8" x14ac:dyDescent="0.25">
      <c r="A34" s="151" t="s">
        <v>259</v>
      </c>
      <c r="B34" s="31">
        <v>171</v>
      </c>
      <c r="C34" s="26">
        <v>171251201</v>
      </c>
      <c r="D34" s="26" t="s">
        <v>104</v>
      </c>
      <c r="E34" s="26" t="s">
        <v>17</v>
      </c>
      <c r="F34" s="27">
        <f>F35</f>
        <v>16.974999999999998</v>
      </c>
      <c r="G34" s="299"/>
      <c r="H34" s="28">
        <f>F34*G34</f>
        <v>0</v>
      </c>
      <c r="J34" s="125"/>
    </row>
    <row r="35" spans="1:10" s="126" customFormat="1" ht="13.8" x14ac:dyDescent="0.25">
      <c r="A35" s="188"/>
      <c r="B35" s="26"/>
      <c r="C35" s="26"/>
      <c r="D35" s="29" t="s">
        <v>105</v>
      </c>
      <c r="E35" s="26"/>
      <c r="F35" s="30">
        <f>F12</f>
        <v>16.974999999999998</v>
      </c>
      <c r="G35" s="299"/>
      <c r="H35" s="28"/>
      <c r="J35" s="125"/>
    </row>
    <row r="36" spans="1:10" s="123" customFormat="1" ht="13.8" x14ac:dyDescent="0.25">
      <c r="A36" s="151" t="s">
        <v>260</v>
      </c>
      <c r="B36" s="31">
        <v>174</v>
      </c>
      <c r="C36" s="26">
        <v>174151101</v>
      </c>
      <c r="D36" s="26" t="s">
        <v>106</v>
      </c>
      <c r="E36" s="26" t="s">
        <v>17</v>
      </c>
      <c r="F36" s="27">
        <f>F37</f>
        <v>6</v>
      </c>
      <c r="G36" s="299"/>
      <c r="H36" s="28">
        <f>F36*G36</f>
        <v>0</v>
      </c>
      <c r="J36" s="125"/>
    </row>
    <row r="37" spans="1:10" s="126" customFormat="1" ht="13.8" x14ac:dyDescent="0.25">
      <c r="A37" s="188"/>
      <c r="B37" s="26"/>
      <c r="C37" s="26"/>
      <c r="D37" s="29" t="s">
        <v>1216</v>
      </c>
      <c r="E37" s="26"/>
      <c r="F37" s="30">
        <v>6</v>
      </c>
      <c r="G37" s="299"/>
      <c r="H37" s="28"/>
      <c r="J37" s="125"/>
    </row>
    <row r="38" spans="1:10" x14ac:dyDescent="0.3">
      <c r="A38" s="189"/>
      <c r="B38" s="15"/>
      <c r="C38" s="15">
        <v>2</v>
      </c>
      <c r="D38" s="15" t="s">
        <v>206</v>
      </c>
      <c r="E38" s="15"/>
      <c r="F38" s="16"/>
      <c r="G38" s="298"/>
      <c r="H38" s="17">
        <f>SUM(H39:H50)</f>
        <v>0</v>
      </c>
    </row>
    <row r="39" spans="1:10" s="123" customFormat="1" ht="13.8" x14ac:dyDescent="0.25">
      <c r="A39" s="151" t="s">
        <v>261</v>
      </c>
      <c r="B39" s="31">
        <v>273</v>
      </c>
      <c r="C39" s="26">
        <v>273321411</v>
      </c>
      <c r="D39" s="26" t="s">
        <v>207</v>
      </c>
      <c r="E39" s="26" t="s">
        <v>17</v>
      </c>
      <c r="F39" s="27">
        <f>SUM(F40:F41)</f>
        <v>20.911999999999999</v>
      </c>
      <c r="G39" s="299"/>
      <c r="H39" s="28">
        <f>F39*G39</f>
        <v>0</v>
      </c>
      <c r="J39" s="125"/>
    </row>
    <row r="40" spans="1:10" s="126" customFormat="1" ht="13.8" x14ac:dyDescent="0.25">
      <c r="A40" s="188"/>
      <c r="B40" s="26"/>
      <c r="C40" s="26"/>
      <c r="D40" s="29" t="s">
        <v>1119</v>
      </c>
      <c r="E40" s="26"/>
      <c r="F40" s="30">
        <f>0.1*(95.9+108)</f>
        <v>20.39</v>
      </c>
      <c r="G40" s="299"/>
      <c r="H40" s="28"/>
      <c r="J40" s="125"/>
    </row>
    <row r="41" spans="1:10" s="126" customFormat="1" ht="24.9" customHeight="1" x14ac:dyDescent="0.25">
      <c r="A41" s="188"/>
      <c r="B41" s="26"/>
      <c r="C41" s="26"/>
      <c r="D41" s="29" t="s">
        <v>1122</v>
      </c>
      <c r="E41" s="26"/>
      <c r="F41" s="30">
        <f>2*(0.3*0.18*1.5)+1.5*1.2*0.2</f>
        <v>0.52200000000000002</v>
      </c>
      <c r="G41" s="299"/>
      <c r="H41" s="28"/>
      <c r="J41" s="125"/>
    </row>
    <row r="42" spans="1:10" s="123" customFormat="1" ht="13.8" x14ac:dyDescent="0.25">
      <c r="A42" s="151" t="s">
        <v>166</v>
      </c>
      <c r="B42" s="31">
        <v>273</v>
      </c>
      <c r="C42" s="26">
        <v>273351121</v>
      </c>
      <c r="D42" s="26" t="s">
        <v>208</v>
      </c>
      <c r="E42" s="26" t="s">
        <v>18</v>
      </c>
      <c r="F42" s="27">
        <f>F43</f>
        <v>29.309999999999995</v>
      </c>
      <c r="G42" s="299"/>
      <c r="H42" s="28">
        <f>F42*G42</f>
        <v>0</v>
      </c>
      <c r="J42" s="125"/>
    </row>
    <row r="43" spans="1:10" s="126" customFormat="1" ht="13.8" x14ac:dyDescent="0.25">
      <c r="A43" s="188"/>
      <c r="B43" s="26"/>
      <c r="C43" s="26"/>
      <c r="D43" s="29" t="s">
        <v>1123</v>
      </c>
      <c r="E43" s="26"/>
      <c r="F43" s="30">
        <f>0.3*(14.8+14.8+18+18+3.6+11+3+2.5+3+3+6)</f>
        <v>29.309999999999995</v>
      </c>
      <c r="G43" s="299"/>
      <c r="H43" s="28"/>
      <c r="J43" s="125"/>
    </row>
    <row r="44" spans="1:10" s="123" customFormat="1" ht="13.8" x14ac:dyDescent="0.25">
      <c r="A44" s="151" t="s">
        <v>167</v>
      </c>
      <c r="B44" s="31">
        <v>273</v>
      </c>
      <c r="C44" s="26">
        <v>273351122</v>
      </c>
      <c r="D44" s="26" t="s">
        <v>209</v>
      </c>
      <c r="E44" s="26" t="s">
        <v>18</v>
      </c>
      <c r="F44" s="27">
        <f>F42</f>
        <v>29.309999999999995</v>
      </c>
      <c r="G44" s="299"/>
      <c r="H44" s="28">
        <f>F44*G44</f>
        <v>0</v>
      </c>
      <c r="J44" s="125"/>
    </row>
    <row r="45" spans="1:10" s="123" customFormat="1" ht="13.8" x14ac:dyDescent="0.25">
      <c r="A45" s="151" t="s">
        <v>262</v>
      </c>
      <c r="B45" s="31" t="s">
        <v>211</v>
      </c>
      <c r="C45" s="26">
        <v>273361821</v>
      </c>
      <c r="D45" s="26" t="s">
        <v>1146</v>
      </c>
      <c r="E45" s="26" t="s">
        <v>118</v>
      </c>
      <c r="F45" s="27">
        <f>F46</f>
        <v>4.8000000000000001E-2</v>
      </c>
      <c r="G45" s="299"/>
      <c r="H45" s="28">
        <f>F45*G45</f>
        <v>0</v>
      </c>
      <c r="J45" s="125"/>
    </row>
    <row r="46" spans="1:10" s="126" customFormat="1" ht="13.8" x14ac:dyDescent="0.25">
      <c r="A46" s="188"/>
      <c r="B46" s="26"/>
      <c r="C46" s="26"/>
      <c r="D46" s="29" t="s">
        <v>1147</v>
      </c>
      <c r="E46" s="26"/>
      <c r="F46" s="30">
        <f>0.6*0.08</f>
        <v>4.8000000000000001E-2</v>
      </c>
      <c r="G46" s="299"/>
      <c r="H46" s="28"/>
      <c r="J46" s="125"/>
    </row>
    <row r="47" spans="1:10" s="123" customFormat="1" ht="13.8" x14ac:dyDescent="0.25">
      <c r="A47" s="151" t="s">
        <v>263</v>
      </c>
      <c r="B47" s="31" t="s">
        <v>211</v>
      </c>
      <c r="C47" s="26">
        <v>273362021</v>
      </c>
      <c r="D47" s="26" t="s">
        <v>210</v>
      </c>
      <c r="E47" s="26" t="s">
        <v>118</v>
      </c>
      <c r="F47" s="27">
        <f>F48</f>
        <v>1.2234</v>
      </c>
      <c r="G47" s="299"/>
      <c r="H47" s="28">
        <f>F47*G47</f>
        <v>0</v>
      </c>
      <c r="J47" s="125"/>
    </row>
    <row r="48" spans="1:10" s="126" customFormat="1" ht="13.8" x14ac:dyDescent="0.25">
      <c r="A48" s="188"/>
      <c r="B48" s="26"/>
      <c r="C48" s="26"/>
      <c r="D48" s="29" t="s">
        <v>1120</v>
      </c>
      <c r="E48" s="26"/>
      <c r="F48" s="30">
        <f>((95.9+108)*6)/1000</f>
        <v>1.2234</v>
      </c>
      <c r="G48" s="299"/>
      <c r="H48" s="28"/>
      <c r="J48" s="125"/>
    </row>
    <row r="49" spans="1:11" s="123" customFormat="1" ht="13.8" x14ac:dyDescent="0.25">
      <c r="A49" s="151" t="s">
        <v>264</v>
      </c>
      <c r="B49" s="31" t="s">
        <v>212</v>
      </c>
      <c r="C49" s="26">
        <v>274313711</v>
      </c>
      <c r="D49" s="26" t="s">
        <v>213</v>
      </c>
      <c r="E49" s="26" t="s">
        <v>17</v>
      </c>
      <c r="F49" s="27">
        <f>F50</f>
        <v>0.27</v>
      </c>
      <c r="G49" s="299"/>
      <c r="H49" s="28">
        <f>F49*G49</f>
        <v>0</v>
      </c>
      <c r="J49" s="125"/>
    </row>
    <row r="50" spans="1:11" s="126" customFormat="1" ht="13.8" x14ac:dyDescent="0.25">
      <c r="A50" s="188"/>
      <c r="B50" s="26"/>
      <c r="C50" s="26"/>
      <c r="D50" s="29" t="s">
        <v>1121</v>
      </c>
      <c r="E50" s="26"/>
      <c r="F50" s="30">
        <f>0.6*0.3*1.5</f>
        <v>0.27</v>
      </c>
      <c r="G50" s="299"/>
      <c r="H50" s="28"/>
      <c r="J50" s="125"/>
    </row>
    <row r="51" spans="1:11" x14ac:dyDescent="0.3">
      <c r="A51" s="189"/>
      <c r="B51" s="15"/>
      <c r="C51" s="15">
        <v>3</v>
      </c>
      <c r="D51" s="15" t="s">
        <v>107</v>
      </c>
      <c r="E51" s="15"/>
      <c r="F51" s="16"/>
      <c r="G51" s="298"/>
      <c r="H51" s="17">
        <f>SUM(H52:H69)</f>
        <v>0</v>
      </c>
    </row>
    <row r="52" spans="1:11" s="123" customFormat="1" ht="21" x14ac:dyDescent="0.25">
      <c r="A52" s="151" t="s">
        <v>265</v>
      </c>
      <c r="B52" s="31">
        <v>311</v>
      </c>
      <c r="C52" s="26">
        <v>311272141</v>
      </c>
      <c r="D52" s="26" t="s">
        <v>214</v>
      </c>
      <c r="E52" s="26" t="s">
        <v>18</v>
      </c>
      <c r="F52" s="27">
        <f>SUM(F53:F53)</f>
        <v>53.590000000000011</v>
      </c>
      <c r="G52" s="299"/>
      <c r="H52" s="28">
        <f>F52*G52</f>
        <v>0</v>
      </c>
      <c r="J52" s="125"/>
    </row>
    <row r="53" spans="1:11" s="126" customFormat="1" ht="21" x14ac:dyDescent="0.25">
      <c r="A53" s="188"/>
      <c r="B53" s="26"/>
      <c r="C53" s="26"/>
      <c r="D53" s="29" t="s">
        <v>1124</v>
      </c>
      <c r="E53" s="26"/>
      <c r="F53" s="30">
        <f>3.3*(0.6+1)+1.9*3.7+2*(0.6*16.6)+5*(0.9*3.2)+0.6*(3.6+2.2+3.6+2.2)</f>
        <v>53.590000000000011</v>
      </c>
      <c r="G53" s="299"/>
      <c r="H53" s="28"/>
      <c r="J53" s="125"/>
    </row>
    <row r="54" spans="1:11" s="123" customFormat="1" ht="21" x14ac:dyDescent="0.25">
      <c r="A54" s="151" t="s">
        <v>266</v>
      </c>
      <c r="B54" s="31">
        <v>311</v>
      </c>
      <c r="C54" s="26">
        <v>311272241</v>
      </c>
      <c r="D54" s="26" t="s">
        <v>1130</v>
      </c>
      <c r="E54" s="26" t="s">
        <v>18</v>
      </c>
      <c r="F54" s="27">
        <f>F55</f>
        <v>4.9499999999999993</v>
      </c>
      <c r="G54" s="299"/>
      <c r="H54" s="28">
        <f>F54*G54</f>
        <v>0</v>
      </c>
      <c r="J54" s="125"/>
    </row>
    <row r="55" spans="1:11" s="126" customFormat="1" ht="13.8" x14ac:dyDescent="0.25">
      <c r="A55" s="188"/>
      <c r="B55" s="26"/>
      <c r="C55" s="26"/>
      <c r="D55" s="29" t="s">
        <v>1133</v>
      </c>
      <c r="E55" s="26"/>
      <c r="F55" s="30">
        <f>3.3*(1.3+0.2)</f>
        <v>4.9499999999999993</v>
      </c>
      <c r="G55" s="299"/>
      <c r="H55" s="28"/>
      <c r="J55" s="125"/>
    </row>
    <row r="56" spans="1:11" s="123" customFormat="1" ht="21" x14ac:dyDescent="0.25">
      <c r="A56" s="151" t="s">
        <v>267</v>
      </c>
      <c r="B56" s="31">
        <v>317</v>
      </c>
      <c r="C56" s="26">
        <v>317142422</v>
      </c>
      <c r="D56" s="26" t="s">
        <v>1129</v>
      </c>
      <c r="E56" s="26" t="s">
        <v>26</v>
      </c>
      <c r="F56" s="27">
        <f>F57</f>
        <v>3</v>
      </c>
      <c r="G56" s="299"/>
      <c r="H56" s="28">
        <f>F56*G56</f>
        <v>0</v>
      </c>
      <c r="J56" s="125"/>
    </row>
    <row r="57" spans="1:11" s="126" customFormat="1" ht="13.8" x14ac:dyDescent="0.25">
      <c r="A57" s="188"/>
      <c r="B57" s="26"/>
      <c r="C57" s="26"/>
      <c r="D57" s="29" t="s">
        <v>1128</v>
      </c>
      <c r="E57" s="26"/>
      <c r="F57" s="30">
        <v>3</v>
      </c>
      <c r="G57" s="299"/>
      <c r="H57" s="28"/>
      <c r="J57" s="125"/>
    </row>
    <row r="58" spans="1:11" s="123" customFormat="1" ht="21" x14ac:dyDescent="0.25">
      <c r="A58" s="151" t="s">
        <v>268</v>
      </c>
      <c r="B58" s="31">
        <v>317</v>
      </c>
      <c r="C58" s="26">
        <v>317142432</v>
      </c>
      <c r="D58" s="26" t="s">
        <v>216</v>
      </c>
      <c r="E58" s="26" t="s">
        <v>26</v>
      </c>
      <c r="F58" s="27">
        <f>F59</f>
        <v>7</v>
      </c>
      <c r="G58" s="299"/>
      <c r="H58" s="28">
        <f>F58*G58</f>
        <v>0</v>
      </c>
      <c r="J58" s="125"/>
    </row>
    <row r="59" spans="1:11" s="126" customFormat="1" ht="13.8" x14ac:dyDescent="0.25">
      <c r="A59" s="188"/>
      <c r="B59" s="26"/>
      <c r="C59" s="26"/>
      <c r="D59" s="29" t="s">
        <v>1128</v>
      </c>
      <c r="E59" s="26"/>
      <c r="F59" s="30">
        <v>7</v>
      </c>
      <c r="G59" s="299"/>
      <c r="H59" s="28"/>
      <c r="J59" s="125"/>
    </row>
    <row r="60" spans="1:11" s="123" customFormat="1" ht="21" x14ac:dyDescent="0.25">
      <c r="A60" s="151" t="s">
        <v>269</v>
      </c>
      <c r="B60" s="31">
        <v>317</v>
      </c>
      <c r="C60" s="26">
        <v>317941121</v>
      </c>
      <c r="D60" s="26" t="s">
        <v>124</v>
      </c>
      <c r="E60" s="26" t="s">
        <v>118</v>
      </c>
      <c r="F60" s="27">
        <f>F61</f>
        <v>0.16</v>
      </c>
      <c r="G60" s="299"/>
      <c r="H60" s="28">
        <f>F60*G60</f>
        <v>0</v>
      </c>
      <c r="J60" s="125"/>
    </row>
    <row r="61" spans="1:11" s="126" customFormat="1" ht="21" x14ac:dyDescent="0.25">
      <c r="A61" s="188"/>
      <c r="B61" s="26"/>
      <c r="C61" s="26"/>
      <c r="D61" s="29" t="s">
        <v>1125</v>
      </c>
      <c r="E61" s="26"/>
      <c r="F61" s="30">
        <v>0.16</v>
      </c>
      <c r="G61" s="299"/>
      <c r="H61" s="28"/>
      <c r="J61" s="125"/>
      <c r="K61" s="126" t="s">
        <v>92</v>
      </c>
    </row>
    <row r="62" spans="1:11" s="173" customFormat="1" x14ac:dyDescent="0.3">
      <c r="A62" s="195" t="s">
        <v>270</v>
      </c>
      <c r="B62" s="196" t="s">
        <v>129</v>
      </c>
      <c r="C62" s="170">
        <v>13011056</v>
      </c>
      <c r="D62" s="170" t="s">
        <v>1127</v>
      </c>
      <c r="E62" s="170" t="s">
        <v>118</v>
      </c>
      <c r="F62" s="171">
        <f>1.1*0.121</f>
        <v>0.1331</v>
      </c>
      <c r="G62" s="300"/>
      <c r="H62" s="172">
        <f>F62*G62</f>
        <v>0</v>
      </c>
      <c r="J62" s="174"/>
    </row>
    <row r="63" spans="1:11" s="173" customFormat="1" x14ac:dyDescent="0.3">
      <c r="A63" s="195" t="s">
        <v>271</v>
      </c>
      <c r="B63" s="196" t="s">
        <v>129</v>
      </c>
      <c r="C63" s="170">
        <v>13010438</v>
      </c>
      <c r="D63" s="170" t="s">
        <v>1126</v>
      </c>
      <c r="E63" s="170" t="s">
        <v>118</v>
      </c>
      <c r="F63" s="171">
        <f>1.1*(0.025)</f>
        <v>2.7500000000000004E-2</v>
      </c>
      <c r="G63" s="300"/>
      <c r="H63" s="172">
        <f>F63*G63</f>
        <v>0</v>
      </c>
      <c r="J63" s="174"/>
    </row>
    <row r="64" spans="1:11" s="123" customFormat="1" ht="13.8" x14ac:dyDescent="0.25">
      <c r="A64" s="151" t="s">
        <v>272</v>
      </c>
      <c r="B64" s="31" t="s">
        <v>128</v>
      </c>
      <c r="C64" s="26">
        <v>342272225</v>
      </c>
      <c r="D64" s="26" t="s">
        <v>127</v>
      </c>
      <c r="E64" s="26" t="s">
        <v>18</v>
      </c>
      <c r="F64" s="27">
        <f>F65</f>
        <v>69.959999999999994</v>
      </c>
      <c r="G64" s="299"/>
      <c r="H64" s="28">
        <f>F64*G64</f>
        <v>0</v>
      </c>
      <c r="J64" s="125"/>
    </row>
    <row r="65" spans="1:10" s="126" customFormat="1" ht="21" x14ac:dyDescent="0.25">
      <c r="A65" s="188"/>
      <c r="B65" s="26"/>
      <c r="C65" s="26"/>
      <c r="D65" s="29" t="s">
        <v>1132</v>
      </c>
      <c r="E65" s="26"/>
      <c r="F65" s="30">
        <f>3.3*(0.5+0.5+0.5+0.4+0.3+1.2+0.8+4.1+0.6+1.7+1.2+1.2+1.3+1+2.6+2.6+0.7)</f>
        <v>69.959999999999994</v>
      </c>
      <c r="G65" s="299"/>
      <c r="H65" s="28"/>
      <c r="J65" s="125"/>
    </row>
    <row r="66" spans="1:10" s="123" customFormat="1" ht="13.8" x14ac:dyDescent="0.25">
      <c r="A66" s="151" t="s">
        <v>168</v>
      </c>
      <c r="B66" s="31">
        <v>342</v>
      </c>
      <c r="C66" s="26">
        <v>342272235</v>
      </c>
      <c r="D66" s="26" t="s">
        <v>1131</v>
      </c>
      <c r="E66" s="26" t="s">
        <v>18</v>
      </c>
      <c r="F66" s="27">
        <f>F67</f>
        <v>54.78</v>
      </c>
      <c r="G66" s="299"/>
      <c r="H66" s="28">
        <f>F66*G66</f>
        <v>0</v>
      </c>
      <c r="J66" s="125"/>
    </row>
    <row r="67" spans="1:10" s="126" customFormat="1" ht="13.8" x14ac:dyDescent="0.25">
      <c r="A67" s="188"/>
      <c r="B67" s="26"/>
      <c r="C67" s="26"/>
      <c r="D67" s="29" t="s">
        <v>1134</v>
      </c>
      <c r="E67" s="26"/>
      <c r="F67" s="30">
        <f>3.3*(5.9+1.1+5.4+2.6+1.6)</f>
        <v>54.78</v>
      </c>
      <c r="G67" s="299"/>
      <c r="H67" s="28"/>
      <c r="J67" s="125"/>
    </row>
    <row r="68" spans="1:10" s="123" customFormat="1" ht="13.8" x14ac:dyDescent="0.25">
      <c r="A68" s="151" t="s">
        <v>273</v>
      </c>
      <c r="B68" s="31">
        <v>342</v>
      </c>
      <c r="C68" s="26">
        <v>342272245</v>
      </c>
      <c r="D68" s="26" t="s">
        <v>215</v>
      </c>
      <c r="E68" s="26" t="s">
        <v>18</v>
      </c>
      <c r="F68" s="27">
        <f>F69</f>
        <v>37.949999999999996</v>
      </c>
      <c r="G68" s="299"/>
      <c r="H68" s="28">
        <f>F68*G68</f>
        <v>0</v>
      </c>
      <c r="J68" s="125"/>
    </row>
    <row r="69" spans="1:10" s="126" customFormat="1" ht="13.8" x14ac:dyDescent="0.25">
      <c r="A69" s="188"/>
      <c r="B69" s="26"/>
      <c r="C69" s="26"/>
      <c r="D69" s="29" t="s">
        <v>1135</v>
      </c>
      <c r="E69" s="26"/>
      <c r="F69" s="30">
        <f>3.3*(0.4+2.4+3.7+5)</f>
        <v>37.949999999999996</v>
      </c>
      <c r="G69" s="299"/>
      <c r="H69" s="28"/>
      <c r="J69" s="125"/>
    </row>
    <row r="70" spans="1:10" x14ac:dyDescent="0.3">
      <c r="A70" s="189"/>
      <c r="B70" s="15"/>
      <c r="C70" s="15">
        <v>5</v>
      </c>
      <c r="D70" s="15" t="s">
        <v>109</v>
      </c>
      <c r="E70" s="15"/>
      <c r="F70" s="16"/>
      <c r="G70" s="298"/>
      <c r="H70" s="17">
        <f>SUM(H71:H73)</f>
        <v>0</v>
      </c>
    </row>
    <row r="71" spans="1:10" s="123" customFormat="1" ht="27.9" customHeight="1" x14ac:dyDescent="0.25">
      <c r="A71" s="151" t="s">
        <v>274</v>
      </c>
      <c r="B71" s="31">
        <v>598</v>
      </c>
      <c r="C71" s="26">
        <v>596811220</v>
      </c>
      <c r="D71" s="26" t="s">
        <v>108</v>
      </c>
      <c r="E71" s="26" t="s">
        <v>18</v>
      </c>
      <c r="F71" s="27">
        <f>F72</f>
        <v>7.5</v>
      </c>
      <c r="G71" s="299"/>
      <c r="H71" s="28">
        <f>F71*G71</f>
        <v>0</v>
      </c>
      <c r="J71" s="125"/>
    </row>
    <row r="72" spans="1:10" s="126" customFormat="1" ht="13.8" x14ac:dyDescent="0.25">
      <c r="A72" s="188"/>
      <c r="B72" s="26"/>
      <c r="C72" s="26"/>
      <c r="D72" s="29" t="s">
        <v>1208</v>
      </c>
      <c r="E72" s="26"/>
      <c r="F72" s="30">
        <f>0.5*15</f>
        <v>7.5</v>
      </c>
      <c r="G72" s="299"/>
      <c r="H72" s="28"/>
      <c r="J72" s="125"/>
    </row>
    <row r="73" spans="1:10" s="173" customFormat="1" x14ac:dyDescent="0.3">
      <c r="A73" s="190">
        <v>33</v>
      </c>
      <c r="B73" s="170">
        <v>592</v>
      </c>
      <c r="C73" s="170">
        <v>59245320</v>
      </c>
      <c r="D73" s="170" t="s">
        <v>249</v>
      </c>
      <c r="E73" s="170" t="s">
        <v>18</v>
      </c>
      <c r="F73" s="171">
        <f>F71*1.1</f>
        <v>8.25</v>
      </c>
      <c r="G73" s="300"/>
      <c r="H73" s="172">
        <f>F73*G73</f>
        <v>0</v>
      </c>
      <c r="J73" s="174"/>
    </row>
    <row r="74" spans="1:10" x14ac:dyDescent="0.3">
      <c r="A74" s="189"/>
      <c r="B74" s="15"/>
      <c r="C74" s="15">
        <v>6</v>
      </c>
      <c r="D74" s="15" t="s">
        <v>111</v>
      </c>
      <c r="E74" s="15"/>
      <c r="F74" s="16"/>
      <c r="G74" s="298"/>
      <c r="H74" s="17">
        <f>SUM(H75:H106)</f>
        <v>0</v>
      </c>
    </row>
    <row r="75" spans="1:10" s="128" customFormat="1" ht="13.8" x14ac:dyDescent="0.2">
      <c r="A75" s="188">
        <v>34</v>
      </c>
      <c r="B75" s="26">
        <v>612</v>
      </c>
      <c r="C75" s="26">
        <v>612131101</v>
      </c>
      <c r="D75" s="26" t="s">
        <v>1184</v>
      </c>
      <c r="E75" s="26" t="s">
        <v>18</v>
      </c>
      <c r="F75" s="27">
        <f>F76</f>
        <v>397.12200000000001</v>
      </c>
      <c r="G75" s="301"/>
      <c r="H75" s="28">
        <f>F75*G75</f>
        <v>0</v>
      </c>
      <c r="J75" s="125"/>
    </row>
    <row r="76" spans="1:10" s="123" customFormat="1" ht="13.8" x14ac:dyDescent="0.25">
      <c r="A76" s="188"/>
      <c r="B76" s="26"/>
      <c r="C76" s="26"/>
      <c r="D76" s="29" t="s">
        <v>1186</v>
      </c>
      <c r="E76" s="26"/>
      <c r="F76" s="30">
        <f>1.1*(3.3*(5.2+4.8+19.2+4.8+26.4+13+36))</f>
        <v>397.12200000000001</v>
      </c>
      <c r="G76" s="299"/>
      <c r="H76" s="28"/>
      <c r="J76" s="125"/>
    </row>
    <row r="77" spans="1:10" s="128" customFormat="1" ht="13.8" x14ac:dyDescent="0.2">
      <c r="A77" s="188">
        <v>35</v>
      </c>
      <c r="B77" s="26">
        <v>612</v>
      </c>
      <c r="C77" s="26">
        <v>612131121</v>
      </c>
      <c r="D77" s="26" t="s">
        <v>225</v>
      </c>
      <c r="E77" s="26" t="s">
        <v>18</v>
      </c>
      <c r="F77" s="27">
        <f>F78</f>
        <v>442.46</v>
      </c>
      <c r="G77" s="299"/>
      <c r="H77" s="28">
        <f>F77*G77</f>
        <v>0</v>
      </c>
      <c r="J77" s="125"/>
    </row>
    <row r="78" spans="1:10" s="126" customFormat="1" ht="13.8" x14ac:dyDescent="0.25">
      <c r="A78" s="188"/>
      <c r="B78" s="26"/>
      <c r="C78" s="26"/>
      <c r="D78" s="29" t="s">
        <v>1185</v>
      </c>
      <c r="E78" s="26"/>
      <c r="F78" s="30">
        <f>F79</f>
        <v>442.46</v>
      </c>
      <c r="G78" s="299"/>
      <c r="H78" s="28"/>
      <c r="J78" s="125"/>
    </row>
    <row r="79" spans="1:10" s="128" customFormat="1" ht="13.8" x14ac:dyDescent="0.2">
      <c r="A79" s="188">
        <v>36</v>
      </c>
      <c r="B79" s="26">
        <v>612</v>
      </c>
      <c r="C79" s="26">
        <v>612142001</v>
      </c>
      <c r="D79" s="26" t="s">
        <v>136</v>
      </c>
      <c r="E79" s="26" t="s">
        <v>18</v>
      </c>
      <c r="F79" s="27">
        <f>F80</f>
        <v>442.46</v>
      </c>
      <c r="G79" s="299"/>
      <c r="H79" s="28">
        <f>F79*G79</f>
        <v>0</v>
      </c>
      <c r="J79" s="125"/>
    </row>
    <row r="80" spans="1:10" s="126" customFormat="1" ht="13.8" x14ac:dyDescent="0.25">
      <c r="A80" s="188"/>
      <c r="B80" s="26"/>
      <c r="C80" s="26"/>
      <c r="D80" s="29" t="s">
        <v>1197</v>
      </c>
      <c r="E80" s="26"/>
      <c r="F80" s="30">
        <f>2*(F52+F54+F64+F66+F68)</f>
        <v>442.46</v>
      </c>
      <c r="G80" s="299"/>
      <c r="H80" s="28"/>
      <c r="J80" s="125"/>
    </row>
    <row r="81" spans="1:10" s="128" customFormat="1" ht="13.8" x14ac:dyDescent="0.2">
      <c r="A81" s="188">
        <v>37</v>
      </c>
      <c r="B81" s="26">
        <v>612</v>
      </c>
      <c r="C81" s="26">
        <v>612311141</v>
      </c>
      <c r="D81" s="26" t="s">
        <v>226</v>
      </c>
      <c r="E81" s="26" t="s">
        <v>18</v>
      </c>
      <c r="F81" s="27">
        <f>F82</f>
        <v>442.46</v>
      </c>
      <c r="G81" s="299"/>
      <c r="H81" s="28">
        <f>F81*G81</f>
        <v>0</v>
      </c>
      <c r="J81" s="125"/>
    </row>
    <row r="82" spans="1:10" s="126" customFormat="1" ht="13.8" x14ac:dyDescent="0.25">
      <c r="A82" s="188"/>
      <c r="B82" s="26"/>
      <c r="C82" s="26"/>
      <c r="D82" s="29" t="s">
        <v>227</v>
      </c>
      <c r="E82" s="26"/>
      <c r="F82" s="30">
        <f>F79</f>
        <v>442.46</v>
      </c>
      <c r="G82" s="301"/>
      <c r="H82" s="28"/>
      <c r="J82" s="125"/>
    </row>
    <row r="83" spans="1:10" s="128" customFormat="1" ht="13.8" x14ac:dyDescent="0.2">
      <c r="A83" s="188">
        <v>38</v>
      </c>
      <c r="B83" s="26">
        <v>612</v>
      </c>
      <c r="C83" s="26">
        <v>612311191</v>
      </c>
      <c r="D83" s="26" t="s">
        <v>228</v>
      </c>
      <c r="E83" s="26" t="s">
        <v>18</v>
      </c>
      <c r="F83" s="27">
        <f>F84</f>
        <v>885</v>
      </c>
      <c r="G83" s="299"/>
      <c r="H83" s="28">
        <f>F83*G83</f>
        <v>0</v>
      </c>
      <c r="J83" s="125"/>
    </row>
    <row r="84" spans="1:10" s="126" customFormat="1" ht="13.8" x14ac:dyDescent="0.25">
      <c r="A84" s="188"/>
      <c r="B84" s="26"/>
      <c r="C84" s="26"/>
      <c r="D84" s="29" t="s">
        <v>1198</v>
      </c>
      <c r="E84" s="26"/>
      <c r="F84" s="30">
        <f>2*442.5</f>
        <v>885</v>
      </c>
      <c r="G84" s="301"/>
      <c r="H84" s="28"/>
      <c r="J84" s="125"/>
    </row>
    <row r="85" spans="1:10" s="128" customFormat="1" ht="13.8" x14ac:dyDescent="0.2">
      <c r="A85" s="188">
        <v>39</v>
      </c>
      <c r="B85" s="26">
        <v>612</v>
      </c>
      <c r="C85" s="26">
        <v>612311131</v>
      </c>
      <c r="D85" s="26" t="s">
        <v>1187</v>
      </c>
      <c r="E85" s="26" t="s">
        <v>18</v>
      </c>
      <c r="F85" s="27">
        <f>F86</f>
        <v>397.12200000000001</v>
      </c>
      <c r="G85" s="301"/>
      <c r="H85" s="28">
        <f>F85*G85</f>
        <v>0</v>
      </c>
      <c r="J85" s="125"/>
    </row>
    <row r="86" spans="1:10" s="123" customFormat="1" ht="13.8" x14ac:dyDescent="0.25">
      <c r="A86" s="188"/>
      <c r="B86" s="26"/>
      <c r="C86" s="26"/>
      <c r="D86" s="29" t="s">
        <v>1188</v>
      </c>
      <c r="E86" s="26"/>
      <c r="F86" s="30">
        <f>1.1*(3.3*(5.2+4.8+19.2+4.8+26.4+13+36))</f>
        <v>397.12200000000001</v>
      </c>
      <c r="G86" s="299"/>
      <c r="H86" s="28"/>
      <c r="J86" s="125"/>
    </row>
    <row r="87" spans="1:10" s="128" customFormat="1" ht="13.8" x14ac:dyDescent="0.2">
      <c r="A87" s="188">
        <v>40</v>
      </c>
      <c r="B87" s="26">
        <v>612</v>
      </c>
      <c r="C87" s="26">
        <v>612321121</v>
      </c>
      <c r="D87" s="26" t="s">
        <v>1189</v>
      </c>
      <c r="E87" s="26" t="s">
        <v>18</v>
      </c>
      <c r="F87" s="27">
        <f>F88</f>
        <v>397.12200000000001</v>
      </c>
      <c r="G87" s="299"/>
      <c r="H87" s="28">
        <f>F87*G87</f>
        <v>0</v>
      </c>
      <c r="J87" s="125"/>
    </row>
    <row r="88" spans="1:10" s="126" customFormat="1" ht="13.8" x14ac:dyDescent="0.25">
      <c r="A88" s="188"/>
      <c r="B88" s="26"/>
      <c r="C88" s="26"/>
      <c r="D88" s="29" t="s">
        <v>1190</v>
      </c>
      <c r="E88" s="26"/>
      <c r="F88" s="30">
        <f>1.1*(3.3*(5.2+4.8+19.2+4.8+26.4+13+36))</f>
        <v>397.12200000000001</v>
      </c>
      <c r="G88" s="299"/>
      <c r="H88" s="28"/>
      <c r="J88" s="125"/>
    </row>
    <row r="89" spans="1:10" s="128" customFormat="1" ht="13.8" x14ac:dyDescent="0.2">
      <c r="A89" s="188">
        <v>41</v>
      </c>
      <c r="B89" s="26">
        <v>622</v>
      </c>
      <c r="C89" s="26">
        <v>622131121</v>
      </c>
      <c r="D89" s="26" t="s">
        <v>224</v>
      </c>
      <c r="E89" s="26" t="s">
        <v>18</v>
      </c>
      <c r="F89" s="27">
        <f>F90</f>
        <v>63.9</v>
      </c>
      <c r="G89" s="299"/>
      <c r="H89" s="28">
        <f>F89*G89</f>
        <v>0</v>
      </c>
      <c r="J89" s="125"/>
    </row>
    <row r="90" spans="1:10" s="126" customFormat="1" ht="13.8" x14ac:dyDescent="0.25">
      <c r="A90" s="188"/>
      <c r="B90" s="26"/>
      <c r="C90" s="26"/>
      <c r="D90" s="29" t="s">
        <v>1207</v>
      </c>
      <c r="E90" s="26"/>
      <c r="F90" s="30">
        <v>63.9</v>
      </c>
      <c r="G90" s="299"/>
      <c r="H90" s="28"/>
      <c r="J90" s="125"/>
    </row>
    <row r="91" spans="1:10" s="128" customFormat="1" ht="13.8" x14ac:dyDescent="0.2">
      <c r="A91" s="188">
        <v>42</v>
      </c>
      <c r="B91" s="26">
        <v>622</v>
      </c>
      <c r="C91" s="26">
        <v>622135001</v>
      </c>
      <c r="D91" s="26" t="s">
        <v>1201</v>
      </c>
      <c r="E91" s="26" t="s">
        <v>18</v>
      </c>
      <c r="F91" s="27">
        <f>F92</f>
        <v>63.9</v>
      </c>
      <c r="G91" s="299"/>
      <c r="H91" s="28">
        <f>F91*G91</f>
        <v>0</v>
      </c>
      <c r="J91" s="125"/>
    </row>
    <row r="92" spans="1:10" s="126" customFormat="1" ht="13.8" x14ac:dyDescent="0.25">
      <c r="A92" s="188"/>
      <c r="B92" s="26"/>
      <c r="C92" s="26"/>
      <c r="D92" s="29" t="s">
        <v>1204</v>
      </c>
      <c r="E92" s="26"/>
      <c r="F92" s="30">
        <v>63.9</v>
      </c>
      <c r="G92" s="301"/>
      <c r="H92" s="28"/>
      <c r="J92" s="125"/>
    </row>
    <row r="93" spans="1:10" s="128" customFormat="1" ht="13.8" x14ac:dyDescent="0.2">
      <c r="A93" s="188">
        <v>43</v>
      </c>
      <c r="B93" s="26">
        <v>622</v>
      </c>
      <c r="C93" s="26">
        <v>622135091</v>
      </c>
      <c r="D93" s="26" t="s">
        <v>1202</v>
      </c>
      <c r="E93" s="26" t="s">
        <v>18</v>
      </c>
      <c r="F93" s="27">
        <f>F94</f>
        <v>127.8</v>
      </c>
      <c r="G93" s="299"/>
      <c r="H93" s="28">
        <f>F93*G93</f>
        <v>0</v>
      </c>
      <c r="J93" s="125"/>
    </row>
    <row r="94" spans="1:10" s="126" customFormat="1" ht="13.8" x14ac:dyDescent="0.25">
      <c r="A94" s="188"/>
      <c r="B94" s="26"/>
      <c r="C94" s="26"/>
      <c r="D94" s="29" t="s">
        <v>1203</v>
      </c>
      <c r="E94" s="26"/>
      <c r="F94" s="30">
        <f>2*63.9</f>
        <v>127.8</v>
      </c>
      <c r="G94" s="301"/>
      <c r="H94" s="28"/>
      <c r="J94" s="125"/>
    </row>
    <row r="95" spans="1:10" s="128" customFormat="1" ht="13.8" x14ac:dyDescent="0.2">
      <c r="A95" s="188">
        <v>44</v>
      </c>
      <c r="B95" s="26">
        <v>622</v>
      </c>
      <c r="C95" s="26">
        <v>622335103</v>
      </c>
      <c r="D95" s="26" t="s">
        <v>1205</v>
      </c>
      <c r="E95" s="26" t="s">
        <v>18</v>
      </c>
      <c r="F95" s="27">
        <f>F96</f>
        <v>63.9</v>
      </c>
      <c r="G95" s="299"/>
      <c r="H95" s="28">
        <f>F95*G95</f>
        <v>0</v>
      </c>
      <c r="J95" s="125"/>
    </row>
    <row r="96" spans="1:10" s="126" customFormat="1" ht="13.8" x14ac:dyDescent="0.25">
      <c r="A96" s="188"/>
      <c r="B96" s="26"/>
      <c r="C96" s="26"/>
      <c r="D96" s="29" t="s">
        <v>1206</v>
      </c>
      <c r="E96" s="26"/>
      <c r="F96" s="30">
        <v>63.9</v>
      </c>
      <c r="G96" s="299"/>
      <c r="H96" s="28"/>
      <c r="J96" s="125"/>
    </row>
    <row r="97" spans="1:11" s="128" customFormat="1" ht="13.8" x14ac:dyDescent="0.2">
      <c r="A97" s="188">
        <v>45</v>
      </c>
      <c r="B97" s="26">
        <v>629</v>
      </c>
      <c r="C97" s="26">
        <v>629995201</v>
      </c>
      <c r="D97" s="26" t="s">
        <v>1199</v>
      </c>
      <c r="E97" s="26" t="s">
        <v>18</v>
      </c>
      <c r="F97" s="27">
        <f>F98</f>
        <v>63.900000000000006</v>
      </c>
      <c r="G97" s="299"/>
      <c r="H97" s="28">
        <f>F97*G97</f>
        <v>0</v>
      </c>
      <c r="J97" s="125"/>
    </row>
    <row r="98" spans="1:11" s="126" customFormat="1" ht="13.8" x14ac:dyDescent="0.25">
      <c r="A98" s="188"/>
      <c r="B98" s="26"/>
      <c r="C98" s="26"/>
      <c r="D98" s="29" t="s">
        <v>1200</v>
      </c>
      <c r="E98" s="26"/>
      <c r="F98" s="30">
        <f>15.3*3+9*2</f>
        <v>63.900000000000006</v>
      </c>
      <c r="G98" s="301"/>
      <c r="H98" s="28"/>
      <c r="J98" s="125"/>
    </row>
    <row r="99" spans="1:11" s="128" customFormat="1" ht="13.8" x14ac:dyDescent="0.2">
      <c r="A99" s="188">
        <v>46</v>
      </c>
      <c r="B99" s="26">
        <v>631</v>
      </c>
      <c r="C99" s="26">
        <v>631362021</v>
      </c>
      <c r="D99" s="26" t="s">
        <v>117</v>
      </c>
      <c r="E99" s="26" t="s">
        <v>118</v>
      </c>
      <c r="F99" s="27">
        <f>F100</f>
        <v>2.2712000000000003</v>
      </c>
      <c r="G99" s="301"/>
      <c r="H99" s="28">
        <f>F99*G99</f>
        <v>0</v>
      </c>
      <c r="J99" s="125"/>
    </row>
    <row r="100" spans="1:11" s="126" customFormat="1" ht="21" x14ac:dyDescent="0.25">
      <c r="A100" s="188"/>
      <c r="B100" s="26"/>
      <c r="C100" s="26"/>
      <c r="D100" s="29" t="s">
        <v>1217</v>
      </c>
      <c r="E100" s="26"/>
      <c r="F100" s="30">
        <f>2*(((108+95.9)*4)/1000)+1.6*0.4</f>
        <v>2.2712000000000003</v>
      </c>
      <c r="G100" s="299"/>
      <c r="H100" s="28"/>
      <c r="J100" s="125"/>
    </row>
    <row r="101" spans="1:11" s="128" customFormat="1" ht="13.8" x14ac:dyDescent="0.2">
      <c r="A101" s="188">
        <v>47</v>
      </c>
      <c r="B101" s="26">
        <v>632</v>
      </c>
      <c r="C101" s="26">
        <v>632451233</v>
      </c>
      <c r="D101" s="26" t="s">
        <v>1161</v>
      </c>
      <c r="E101" s="26" t="s">
        <v>18</v>
      </c>
      <c r="F101" s="27">
        <f>F102</f>
        <v>95.9</v>
      </c>
      <c r="G101" s="301"/>
      <c r="H101" s="28">
        <f>F101*G101</f>
        <v>0</v>
      </c>
      <c r="J101" s="125"/>
    </row>
    <row r="102" spans="1:11" s="123" customFormat="1" ht="13.8" x14ac:dyDescent="0.25">
      <c r="A102" s="188"/>
      <c r="B102" s="26"/>
      <c r="C102" s="26"/>
      <c r="D102" s="29" t="s">
        <v>1162</v>
      </c>
      <c r="E102" s="26"/>
      <c r="F102" s="30">
        <v>95.9</v>
      </c>
      <c r="G102" s="299"/>
      <c r="H102" s="28"/>
      <c r="J102" s="125"/>
    </row>
    <row r="103" spans="1:11" s="128" customFormat="1" ht="13.8" x14ac:dyDescent="0.2">
      <c r="A103" s="188">
        <v>48</v>
      </c>
      <c r="B103" s="26">
        <v>632</v>
      </c>
      <c r="C103" s="26">
        <v>632451234</v>
      </c>
      <c r="D103" s="26" t="s">
        <v>231</v>
      </c>
      <c r="E103" s="26" t="s">
        <v>18</v>
      </c>
      <c r="F103" s="27">
        <f>F104</f>
        <v>108</v>
      </c>
      <c r="G103" s="301"/>
      <c r="H103" s="28">
        <f>F103*G103</f>
        <v>0</v>
      </c>
      <c r="J103" s="125"/>
    </row>
    <row r="104" spans="1:11" s="126" customFormat="1" ht="13.8" x14ac:dyDescent="0.25">
      <c r="A104" s="188"/>
      <c r="B104" s="26"/>
      <c r="C104" s="26"/>
      <c r="D104" s="29" t="s">
        <v>1160</v>
      </c>
      <c r="E104" s="26"/>
      <c r="F104" s="30">
        <v>108</v>
      </c>
      <c r="G104" s="301"/>
      <c r="H104" s="28"/>
      <c r="J104" s="125"/>
    </row>
    <row r="105" spans="1:11" s="128" customFormat="1" ht="13.8" x14ac:dyDescent="0.2">
      <c r="A105" s="188">
        <v>49</v>
      </c>
      <c r="B105" s="26">
        <v>632</v>
      </c>
      <c r="C105" s="26">
        <v>632451292</v>
      </c>
      <c r="D105" s="26" t="s">
        <v>232</v>
      </c>
      <c r="E105" s="26" t="s">
        <v>18</v>
      </c>
      <c r="F105" s="27">
        <f>F106</f>
        <v>108</v>
      </c>
      <c r="G105" s="301"/>
      <c r="H105" s="28">
        <f>F105*G105</f>
        <v>0</v>
      </c>
      <c r="J105" s="125"/>
    </row>
    <row r="106" spans="1:11" s="126" customFormat="1" ht="13.8" x14ac:dyDescent="0.25">
      <c r="A106" s="188"/>
      <c r="B106" s="26"/>
      <c r="C106" s="26"/>
      <c r="D106" s="29" t="s">
        <v>1163</v>
      </c>
      <c r="E106" s="26"/>
      <c r="F106" s="30">
        <v>108</v>
      </c>
      <c r="G106" s="301"/>
      <c r="H106" s="28"/>
      <c r="J106" s="125"/>
    </row>
    <row r="107" spans="1:11" x14ac:dyDescent="0.3">
      <c r="A107" s="189"/>
      <c r="B107" s="15"/>
      <c r="C107" s="15">
        <v>9</v>
      </c>
      <c r="D107" s="15" t="s">
        <v>62</v>
      </c>
      <c r="E107" s="15"/>
      <c r="F107" s="16"/>
      <c r="G107" s="302"/>
      <c r="H107" s="17">
        <f>SUM(H108:H159)</f>
        <v>0</v>
      </c>
    </row>
    <row r="108" spans="1:11" s="179" customFormat="1" ht="27.9" customHeight="1" x14ac:dyDescent="0.3">
      <c r="A108" s="188">
        <v>50</v>
      </c>
      <c r="B108" s="175">
        <v>941</v>
      </c>
      <c r="C108" s="176">
        <v>941121111</v>
      </c>
      <c r="D108" s="176" t="s">
        <v>251</v>
      </c>
      <c r="E108" s="176" t="s">
        <v>18</v>
      </c>
      <c r="F108" s="177">
        <f>F109</f>
        <v>114.79999999999998</v>
      </c>
      <c r="G108" s="301"/>
      <c r="H108" s="193">
        <f>F108*G108</f>
        <v>0</v>
      </c>
      <c r="I108" s="178"/>
      <c r="K108" s="180"/>
    </row>
    <row r="109" spans="1:11" s="185" customFormat="1" ht="37.5" customHeight="1" x14ac:dyDescent="0.3">
      <c r="A109" s="188"/>
      <c r="B109" s="175"/>
      <c r="C109" s="181"/>
      <c r="D109" s="182" t="s">
        <v>1209</v>
      </c>
      <c r="E109" s="181"/>
      <c r="F109" s="183">
        <f>3.5*(18+14.8)</f>
        <v>114.79999999999998</v>
      </c>
      <c r="G109" s="301"/>
      <c r="H109" s="193"/>
      <c r="I109" s="184"/>
      <c r="K109" s="180"/>
    </row>
    <row r="110" spans="1:11" s="179" customFormat="1" ht="27.9" customHeight="1" x14ac:dyDescent="0.3">
      <c r="A110" s="188">
        <v>51</v>
      </c>
      <c r="B110" s="175">
        <v>941</v>
      </c>
      <c r="C110" s="176">
        <v>941121811</v>
      </c>
      <c r="D110" s="176" t="s">
        <v>250</v>
      </c>
      <c r="E110" s="176" t="s">
        <v>18</v>
      </c>
      <c r="F110" s="177">
        <f>F108</f>
        <v>114.79999999999998</v>
      </c>
      <c r="G110" s="301"/>
      <c r="H110" s="193">
        <f>F110*G110</f>
        <v>0</v>
      </c>
      <c r="I110" s="178"/>
      <c r="K110" s="180"/>
    </row>
    <row r="111" spans="1:11" s="186" customFormat="1" ht="21.6" x14ac:dyDescent="0.3">
      <c r="A111" s="188">
        <v>52</v>
      </c>
      <c r="B111" s="175">
        <v>941</v>
      </c>
      <c r="C111" s="176">
        <v>941121211</v>
      </c>
      <c r="D111" s="176" t="s">
        <v>252</v>
      </c>
      <c r="E111" s="176" t="s">
        <v>18</v>
      </c>
      <c r="F111" s="177">
        <f>F112</f>
        <v>6888</v>
      </c>
      <c r="G111" s="301"/>
      <c r="H111" s="193">
        <f>F111*G111</f>
        <v>0</v>
      </c>
      <c r="I111" s="178"/>
      <c r="K111" s="180"/>
    </row>
    <row r="112" spans="1:11" s="187" customFormat="1" x14ac:dyDescent="0.3">
      <c r="A112" s="188"/>
      <c r="B112" s="175"/>
      <c r="C112" s="176"/>
      <c r="D112" s="182" t="s">
        <v>1210</v>
      </c>
      <c r="E112" s="176"/>
      <c r="F112" s="183">
        <f>60*114.8</f>
        <v>6888</v>
      </c>
      <c r="G112" s="301"/>
      <c r="H112" s="193"/>
      <c r="I112" s="186"/>
      <c r="K112" s="180"/>
    </row>
    <row r="113" spans="1:11" s="187" customFormat="1" x14ac:dyDescent="0.3">
      <c r="A113" s="188">
        <v>53</v>
      </c>
      <c r="B113" s="175">
        <v>944</v>
      </c>
      <c r="C113" s="176">
        <v>944511111</v>
      </c>
      <c r="D113" s="176" t="s">
        <v>137</v>
      </c>
      <c r="E113" s="176" t="s">
        <v>18</v>
      </c>
      <c r="F113" s="177">
        <f>F114</f>
        <v>114.79999999999998</v>
      </c>
      <c r="G113" s="301"/>
      <c r="H113" s="193">
        <f>F113*G113</f>
        <v>0</v>
      </c>
      <c r="I113" s="186"/>
      <c r="K113" s="180"/>
    </row>
    <row r="114" spans="1:11" s="187" customFormat="1" x14ac:dyDescent="0.3">
      <c r="A114" s="188"/>
      <c r="B114" s="175"/>
      <c r="C114" s="176"/>
      <c r="D114" s="182" t="s">
        <v>138</v>
      </c>
      <c r="E114" s="176"/>
      <c r="F114" s="183">
        <f>F108</f>
        <v>114.79999999999998</v>
      </c>
      <c r="G114" s="301"/>
      <c r="H114" s="193"/>
      <c r="I114" s="186"/>
      <c r="K114" s="180"/>
    </row>
    <row r="115" spans="1:11" s="186" customFormat="1" x14ac:dyDescent="0.3">
      <c r="A115" s="188">
        <v>54</v>
      </c>
      <c r="B115" s="175">
        <v>944</v>
      </c>
      <c r="C115" s="176">
        <v>944511811</v>
      </c>
      <c r="D115" s="176" t="s">
        <v>139</v>
      </c>
      <c r="E115" s="176" t="s">
        <v>18</v>
      </c>
      <c r="F115" s="177">
        <f>F113</f>
        <v>114.79999999999998</v>
      </c>
      <c r="G115" s="301"/>
      <c r="H115" s="193">
        <f>F115*G115</f>
        <v>0</v>
      </c>
      <c r="K115" s="180"/>
    </row>
    <row r="116" spans="1:11" s="186" customFormat="1" x14ac:dyDescent="0.3">
      <c r="A116" s="188">
        <v>55</v>
      </c>
      <c r="B116" s="175">
        <v>944</v>
      </c>
      <c r="C116" s="176">
        <v>944511211</v>
      </c>
      <c r="D116" s="176" t="s">
        <v>140</v>
      </c>
      <c r="E116" s="176" t="s">
        <v>18</v>
      </c>
      <c r="F116" s="177">
        <f>F117</f>
        <v>6888</v>
      </c>
      <c r="G116" s="301"/>
      <c r="H116" s="193">
        <f>F116*G116</f>
        <v>0</v>
      </c>
      <c r="K116" s="180"/>
    </row>
    <row r="117" spans="1:11" s="187" customFormat="1" x14ac:dyDescent="0.3">
      <c r="A117" s="188"/>
      <c r="B117" s="175"/>
      <c r="C117" s="176"/>
      <c r="D117" s="182" t="s">
        <v>1210</v>
      </c>
      <c r="E117" s="176"/>
      <c r="F117" s="183">
        <f>60*114.8</f>
        <v>6888</v>
      </c>
      <c r="G117" s="301"/>
      <c r="H117" s="193"/>
      <c r="I117" s="186"/>
      <c r="K117" s="180"/>
    </row>
    <row r="118" spans="1:11" s="186" customFormat="1" x14ac:dyDescent="0.3">
      <c r="A118" s="188">
        <v>56</v>
      </c>
      <c r="B118" s="175">
        <v>944</v>
      </c>
      <c r="C118" s="176">
        <v>944711112</v>
      </c>
      <c r="D118" s="176" t="s">
        <v>141</v>
      </c>
      <c r="E118" s="176" t="s">
        <v>73</v>
      </c>
      <c r="F118" s="177">
        <f>F119</f>
        <v>10</v>
      </c>
      <c r="G118" s="301"/>
      <c r="H118" s="193">
        <f>F118*G118</f>
        <v>0</v>
      </c>
      <c r="I118" s="178"/>
      <c r="K118" s="180"/>
    </row>
    <row r="119" spans="1:11" s="187" customFormat="1" ht="21.6" x14ac:dyDescent="0.3">
      <c r="A119" s="188"/>
      <c r="B119" s="175"/>
      <c r="C119" s="176"/>
      <c r="D119" s="182" t="s">
        <v>142</v>
      </c>
      <c r="E119" s="176"/>
      <c r="F119" s="183">
        <v>10</v>
      </c>
      <c r="G119" s="301"/>
      <c r="H119" s="193"/>
      <c r="I119" s="186"/>
      <c r="K119" s="180"/>
    </row>
    <row r="120" spans="1:11" s="186" customFormat="1" x14ac:dyDescent="0.3">
      <c r="A120" s="188">
        <v>57</v>
      </c>
      <c r="B120" s="175">
        <v>944</v>
      </c>
      <c r="C120" s="176">
        <v>944711814</v>
      </c>
      <c r="D120" s="176" t="s">
        <v>143</v>
      </c>
      <c r="E120" s="176" t="s">
        <v>73</v>
      </c>
      <c r="F120" s="177">
        <f>F118</f>
        <v>10</v>
      </c>
      <c r="G120" s="301"/>
      <c r="H120" s="193">
        <f>F120*G120</f>
        <v>0</v>
      </c>
      <c r="I120" s="178"/>
      <c r="K120" s="180"/>
    </row>
    <row r="121" spans="1:11" s="186" customFormat="1" x14ac:dyDescent="0.3">
      <c r="A121" s="188">
        <v>58</v>
      </c>
      <c r="B121" s="175">
        <v>944</v>
      </c>
      <c r="C121" s="176">
        <v>944711212</v>
      </c>
      <c r="D121" s="176" t="s">
        <v>144</v>
      </c>
      <c r="E121" s="176" t="s">
        <v>73</v>
      </c>
      <c r="F121" s="177">
        <f>F122</f>
        <v>600</v>
      </c>
      <c r="G121" s="301"/>
      <c r="H121" s="193">
        <f>F121*G121</f>
        <v>0</v>
      </c>
      <c r="I121" s="178"/>
      <c r="K121" s="180"/>
    </row>
    <row r="122" spans="1:11" s="187" customFormat="1" x14ac:dyDescent="0.3">
      <c r="A122" s="188"/>
      <c r="B122" s="175"/>
      <c r="C122" s="176"/>
      <c r="D122" s="182" t="s">
        <v>145</v>
      </c>
      <c r="E122" s="176"/>
      <c r="F122" s="183">
        <f>60*10</f>
        <v>600</v>
      </c>
      <c r="G122" s="301"/>
      <c r="H122" s="193"/>
      <c r="I122" s="186"/>
      <c r="K122" s="180"/>
    </row>
    <row r="123" spans="1:11" s="186" customFormat="1" ht="21.6" x14ac:dyDescent="0.3">
      <c r="A123" s="188">
        <v>59</v>
      </c>
      <c r="B123" s="175">
        <v>949</v>
      </c>
      <c r="C123" s="176">
        <v>949101111</v>
      </c>
      <c r="D123" s="176" t="s">
        <v>704</v>
      </c>
      <c r="E123" s="176" t="s">
        <v>18</v>
      </c>
      <c r="F123" s="177">
        <f>F124</f>
        <v>203.9</v>
      </c>
      <c r="G123" s="301"/>
      <c r="H123" s="193">
        <f>F123*G123</f>
        <v>0</v>
      </c>
      <c r="I123" s="178"/>
      <c r="K123" s="180"/>
    </row>
    <row r="124" spans="1:11" s="187" customFormat="1" x14ac:dyDescent="0.3">
      <c r="A124" s="188"/>
      <c r="B124" s="175"/>
      <c r="C124" s="176"/>
      <c r="D124" s="182" t="s">
        <v>705</v>
      </c>
      <c r="E124" s="176"/>
      <c r="F124" s="183">
        <f>95.9+108</f>
        <v>203.9</v>
      </c>
      <c r="G124" s="301"/>
      <c r="H124" s="193"/>
      <c r="I124" s="186"/>
      <c r="K124" s="180"/>
    </row>
    <row r="125" spans="1:11" s="186" customFormat="1" x14ac:dyDescent="0.3">
      <c r="A125" s="188">
        <v>60</v>
      </c>
      <c r="B125" s="175">
        <v>952</v>
      </c>
      <c r="C125" s="176">
        <v>952901111</v>
      </c>
      <c r="D125" s="176" t="s">
        <v>146</v>
      </c>
      <c r="E125" s="176" t="s">
        <v>18</v>
      </c>
      <c r="F125" s="177">
        <f>F126</f>
        <v>203.9</v>
      </c>
      <c r="G125" s="301"/>
      <c r="H125" s="193">
        <f>F125*G125</f>
        <v>0</v>
      </c>
      <c r="I125" s="178"/>
      <c r="K125" s="180"/>
    </row>
    <row r="126" spans="1:11" s="187" customFormat="1" x14ac:dyDescent="0.3">
      <c r="A126" s="188"/>
      <c r="B126" s="175"/>
      <c r="C126" s="176"/>
      <c r="D126" s="182" t="s">
        <v>246</v>
      </c>
      <c r="E126" s="176"/>
      <c r="F126" s="183">
        <v>203.9</v>
      </c>
      <c r="G126" s="301"/>
      <c r="H126" s="193"/>
      <c r="I126" s="186"/>
      <c r="K126" s="180"/>
    </row>
    <row r="127" spans="1:11" s="128" customFormat="1" ht="13.8" x14ac:dyDescent="0.2">
      <c r="A127" s="188">
        <v>61</v>
      </c>
      <c r="B127" s="26">
        <v>962</v>
      </c>
      <c r="C127" s="26">
        <v>962031132</v>
      </c>
      <c r="D127" s="26" t="s">
        <v>204</v>
      </c>
      <c r="E127" s="26" t="s">
        <v>18</v>
      </c>
      <c r="F127" s="27">
        <f>F128</f>
        <v>77.550000000000011</v>
      </c>
      <c r="G127" s="299"/>
      <c r="H127" s="28">
        <f>F127*G127</f>
        <v>0</v>
      </c>
      <c r="J127" s="125"/>
    </row>
    <row r="128" spans="1:11" s="126" customFormat="1" ht="13.8" x14ac:dyDescent="0.25">
      <c r="A128" s="188"/>
      <c r="B128" s="26"/>
      <c r="C128" s="26"/>
      <c r="D128" s="29" t="s">
        <v>1091</v>
      </c>
      <c r="E128" s="26"/>
      <c r="F128" s="30">
        <f>3.3*(1.9+4.8+0.8+1+1+2.4+4.4+1.3+3.3+2.6)</f>
        <v>77.550000000000011</v>
      </c>
      <c r="G128" s="301"/>
      <c r="H128" s="28"/>
      <c r="J128" s="125"/>
    </row>
    <row r="129" spans="1:10" s="128" customFormat="1" ht="13.8" x14ac:dyDescent="0.2">
      <c r="A129" s="188">
        <v>62</v>
      </c>
      <c r="B129" s="26">
        <v>962</v>
      </c>
      <c r="C129" s="26">
        <v>962031133</v>
      </c>
      <c r="D129" s="26" t="s">
        <v>1090</v>
      </c>
      <c r="E129" s="26" t="s">
        <v>18</v>
      </c>
      <c r="F129" s="27">
        <f>F130</f>
        <v>360.36000000000007</v>
      </c>
      <c r="G129" s="299"/>
      <c r="H129" s="28">
        <f>F129*G129</f>
        <v>0</v>
      </c>
      <c r="J129" s="125"/>
    </row>
    <row r="130" spans="1:10" s="126" customFormat="1" ht="24.9" customHeight="1" x14ac:dyDescent="0.25">
      <c r="A130" s="188"/>
      <c r="B130" s="26"/>
      <c r="C130" s="26"/>
      <c r="D130" s="29" t="s">
        <v>1092</v>
      </c>
      <c r="E130" s="26"/>
      <c r="F130" s="30">
        <f>3.3*(0.9+3.3+4.1+6.3+5.1+2+64.9+1.4+2+1.2+2.4+5.4+3+1.7+1+4.5)</f>
        <v>360.36000000000007</v>
      </c>
      <c r="G130" s="301"/>
      <c r="H130" s="28"/>
      <c r="J130" s="125"/>
    </row>
    <row r="131" spans="1:10" s="128" customFormat="1" ht="13.8" x14ac:dyDescent="0.2">
      <c r="A131" s="188">
        <v>63</v>
      </c>
      <c r="B131" s="26">
        <v>962</v>
      </c>
      <c r="C131" s="26">
        <v>962052211</v>
      </c>
      <c r="D131" s="26" t="s">
        <v>203</v>
      </c>
      <c r="E131" s="26" t="s">
        <v>17</v>
      </c>
      <c r="F131" s="27">
        <f>SUM(F132:F133)</f>
        <v>5.8751999999999995</v>
      </c>
      <c r="G131" s="299"/>
      <c r="H131" s="28">
        <f>F131*G131</f>
        <v>0</v>
      </c>
      <c r="J131" s="125"/>
    </row>
    <row r="132" spans="1:10" s="126" customFormat="1" ht="13.8" x14ac:dyDescent="0.25">
      <c r="A132" s="188"/>
      <c r="B132" s="26"/>
      <c r="C132" s="26"/>
      <c r="D132" s="29" t="s">
        <v>1086</v>
      </c>
      <c r="E132" s="26"/>
      <c r="F132" s="30">
        <f>0.36*(2.4*0.8+7.2*0.8+1.7*1.2)</f>
        <v>3.4992000000000001</v>
      </c>
      <c r="G132" s="301"/>
      <c r="H132" s="28"/>
      <c r="J132" s="125"/>
    </row>
    <row r="133" spans="1:10" s="126" customFormat="1" ht="13.8" x14ac:dyDescent="0.25">
      <c r="A133" s="188"/>
      <c r="B133" s="26"/>
      <c r="C133" s="26"/>
      <c r="D133" s="29" t="s">
        <v>1093</v>
      </c>
      <c r="E133" s="26"/>
      <c r="F133" s="30">
        <f>0.36*3.3*(0.3+0.3+1.1+0.3)</f>
        <v>2.3759999999999999</v>
      </c>
      <c r="G133" s="301"/>
      <c r="H133" s="28"/>
      <c r="J133" s="125"/>
    </row>
    <row r="134" spans="1:10" s="128" customFormat="1" ht="13.8" x14ac:dyDescent="0.2">
      <c r="A134" s="188">
        <v>64</v>
      </c>
      <c r="B134" s="26">
        <v>962</v>
      </c>
      <c r="C134" s="26">
        <v>962081141</v>
      </c>
      <c r="D134" s="26" t="s">
        <v>1107</v>
      </c>
      <c r="E134" s="26" t="s">
        <v>18</v>
      </c>
      <c r="F134" s="27">
        <f>F135</f>
        <v>4.8</v>
      </c>
      <c r="G134" s="299"/>
      <c r="H134" s="28">
        <f>F134*G134</f>
        <v>0</v>
      </c>
      <c r="J134" s="125"/>
    </row>
    <row r="135" spans="1:10" s="126" customFormat="1" ht="13.8" x14ac:dyDescent="0.25">
      <c r="A135" s="188"/>
      <c r="B135" s="26"/>
      <c r="C135" s="26"/>
      <c r="D135" s="29" t="s">
        <v>1108</v>
      </c>
      <c r="E135" s="26"/>
      <c r="F135" s="30">
        <f>4*(1.2*1)</f>
        <v>4.8</v>
      </c>
      <c r="G135" s="301"/>
      <c r="H135" s="28"/>
      <c r="J135" s="125"/>
    </row>
    <row r="136" spans="1:10" s="128" customFormat="1" ht="13.8" x14ac:dyDescent="0.2">
      <c r="A136" s="188">
        <v>65</v>
      </c>
      <c r="B136" s="26">
        <v>965</v>
      </c>
      <c r="C136" s="26">
        <v>965043341</v>
      </c>
      <c r="D136" s="26" t="s">
        <v>200</v>
      </c>
      <c r="E136" s="26" t="s">
        <v>17</v>
      </c>
      <c r="F136" s="27">
        <f>SUM(F137:F137)</f>
        <v>14.639999999999999</v>
      </c>
      <c r="G136" s="299"/>
      <c r="H136" s="28">
        <f>F136*G136</f>
        <v>0</v>
      </c>
      <c r="J136" s="125"/>
    </row>
    <row r="137" spans="1:10" s="126" customFormat="1" ht="21" x14ac:dyDescent="0.25">
      <c r="A137" s="188"/>
      <c r="B137" s="26"/>
      <c r="C137" s="26"/>
      <c r="D137" s="29" t="s">
        <v>1110</v>
      </c>
      <c r="E137" s="26"/>
      <c r="F137" s="30">
        <f>0.075*(6+22.8+8+5.8+3.3+9.4+14.1+8.9+1.1+1.5+1.1+1.3+0.8+17.3+4.5+61.3+4+18+6)</f>
        <v>14.639999999999999</v>
      </c>
      <c r="G137" s="299"/>
      <c r="H137" s="28"/>
      <c r="J137" s="125"/>
    </row>
    <row r="138" spans="1:10" s="128" customFormat="1" ht="13.8" x14ac:dyDescent="0.2">
      <c r="A138" s="188">
        <v>66</v>
      </c>
      <c r="B138" s="26">
        <v>966</v>
      </c>
      <c r="C138" s="26">
        <v>966080105</v>
      </c>
      <c r="D138" s="26" t="s">
        <v>1089</v>
      </c>
      <c r="E138" s="26" t="s">
        <v>18</v>
      </c>
      <c r="F138" s="27">
        <f>F139</f>
        <v>69.660000000000011</v>
      </c>
      <c r="G138" s="299"/>
      <c r="H138" s="28">
        <f>F138*G138</f>
        <v>0</v>
      </c>
      <c r="J138" s="125"/>
    </row>
    <row r="139" spans="1:10" s="126" customFormat="1" ht="13.8" x14ac:dyDescent="0.25">
      <c r="A139" s="188"/>
      <c r="B139" s="26"/>
      <c r="C139" s="26"/>
      <c r="D139" s="29" t="s">
        <v>1178</v>
      </c>
      <c r="E139" s="26"/>
      <c r="F139" s="30">
        <f>15.3*3+1.8*2.2+9*2.2</f>
        <v>69.660000000000011</v>
      </c>
      <c r="G139" s="299"/>
      <c r="H139" s="28"/>
      <c r="J139" s="125"/>
    </row>
    <row r="140" spans="1:10" s="128" customFormat="1" ht="13.8" x14ac:dyDescent="0.2">
      <c r="A140" s="188">
        <v>67</v>
      </c>
      <c r="B140" s="26">
        <v>968</v>
      </c>
      <c r="C140" s="26">
        <v>968082015</v>
      </c>
      <c r="D140" s="26" t="s">
        <v>1101</v>
      </c>
      <c r="E140" s="26" t="s">
        <v>18</v>
      </c>
      <c r="F140" s="27">
        <f>F141</f>
        <v>0.96</v>
      </c>
      <c r="G140" s="299"/>
      <c r="H140" s="28">
        <f>F140*G140</f>
        <v>0</v>
      </c>
      <c r="J140" s="125"/>
    </row>
    <row r="141" spans="1:10" s="126" customFormat="1" ht="13.8" x14ac:dyDescent="0.25">
      <c r="A141" s="188"/>
      <c r="B141" s="26"/>
      <c r="C141" s="26"/>
      <c r="D141" s="29" t="s">
        <v>1102</v>
      </c>
      <c r="E141" s="26"/>
      <c r="F141" s="30">
        <f>0.6*1.6</f>
        <v>0.96</v>
      </c>
      <c r="G141" s="299"/>
      <c r="H141" s="28"/>
      <c r="J141" s="125"/>
    </row>
    <row r="142" spans="1:10" s="128" customFormat="1" ht="13.8" x14ac:dyDescent="0.2">
      <c r="A142" s="188">
        <v>68</v>
      </c>
      <c r="B142" s="26">
        <v>968</v>
      </c>
      <c r="C142" s="26">
        <v>968082017</v>
      </c>
      <c r="D142" s="26" t="s">
        <v>1087</v>
      </c>
      <c r="E142" s="26" t="s">
        <v>18</v>
      </c>
      <c r="F142" s="27">
        <f>F143</f>
        <v>8.64</v>
      </c>
      <c r="G142" s="299"/>
      <c r="H142" s="28">
        <f>F142*G142</f>
        <v>0</v>
      </c>
      <c r="J142" s="125"/>
    </row>
    <row r="143" spans="1:10" s="126" customFormat="1" ht="13.8" x14ac:dyDescent="0.25">
      <c r="A143" s="188"/>
      <c r="B143" s="26"/>
      <c r="C143" s="26"/>
      <c r="D143" s="29" t="s">
        <v>1103</v>
      </c>
      <c r="E143" s="26"/>
      <c r="F143" s="30">
        <f>3*(1.2*2.4)</f>
        <v>8.64</v>
      </c>
      <c r="G143" s="299"/>
      <c r="H143" s="28"/>
      <c r="J143" s="125"/>
    </row>
    <row r="144" spans="1:10" s="128" customFormat="1" ht="13.8" x14ac:dyDescent="0.2">
      <c r="A144" s="188">
        <v>69</v>
      </c>
      <c r="B144" s="26">
        <v>968</v>
      </c>
      <c r="C144" s="26">
        <v>968082018</v>
      </c>
      <c r="D144" s="26" t="s">
        <v>1104</v>
      </c>
      <c r="E144" s="26" t="s">
        <v>18</v>
      </c>
      <c r="F144" s="27">
        <f>F145</f>
        <v>23.04</v>
      </c>
      <c r="G144" s="299"/>
      <c r="H144" s="28">
        <f>F144*G144</f>
        <v>0</v>
      </c>
      <c r="J144" s="125"/>
    </row>
    <row r="145" spans="1:10" s="126" customFormat="1" ht="13.8" x14ac:dyDescent="0.25">
      <c r="A145" s="188"/>
      <c r="B145" s="26"/>
      <c r="C145" s="26"/>
      <c r="D145" s="29" t="s">
        <v>1105</v>
      </c>
      <c r="E145" s="26"/>
      <c r="F145" s="30">
        <f>4*(2.4*2.4)</f>
        <v>23.04</v>
      </c>
      <c r="G145" s="299"/>
      <c r="H145" s="28"/>
      <c r="J145" s="125"/>
    </row>
    <row r="146" spans="1:10" s="128" customFormat="1" ht="13.8" x14ac:dyDescent="0.2">
      <c r="A146" s="188">
        <v>70</v>
      </c>
      <c r="B146" s="26">
        <v>968</v>
      </c>
      <c r="C146" s="26">
        <v>968072455</v>
      </c>
      <c r="D146" s="26" t="s">
        <v>1100</v>
      </c>
      <c r="E146" s="26" t="s">
        <v>18</v>
      </c>
      <c r="F146" s="27">
        <f>F147</f>
        <v>27.186</v>
      </c>
      <c r="G146" s="299"/>
      <c r="H146" s="28">
        <f>F146*G146</f>
        <v>0</v>
      </c>
      <c r="J146" s="125"/>
    </row>
    <row r="147" spans="1:10" s="126" customFormat="1" ht="13.8" x14ac:dyDescent="0.25">
      <c r="A147" s="188"/>
      <c r="B147" s="26"/>
      <c r="C147" s="26"/>
      <c r="D147" s="29" t="s">
        <v>1099</v>
      </c>
      <c r="E147" s="26"/>
      <c r="F147" s="30">
        <f>(0.8*1.97)*10+(0.9*1.97)*2+(0.6*1.97)*4+1.6*1.97</f>
        <v>27.186</v>
      </c>
      <c r="G147" s="299"/>
      <c r="H147" s="28"/>
      <c r="J147" s="125"/>
    </row>
    <row r="148" spans="1:10" s="128" customFormat="1" ht="13.8" x14ac:dyDescent="0.2">
      <c r="A148" s="188">
        <v>71</v>
      </c>
      <c r="B148" s="26">
        <v>968</v>
      </c>
      <c r="C148" s="26">
        <v>968082017</v>
      </c>
      <c r="D148" s="26" t="s">
        <v>1087</v>
      </c>
      <c r="E148" s="26" t="s">
        <v>18</v>
      </c>
      <c r="F148" s="27">
        <f>F149</f>
        <v>1.92</v>
      </c>
      <c r="G148" s="299"/>
      <c r="H148" s="28">
        <f>F148*G148</f>
        <v>0</v>
      </c>
      <c r="J148" s="125"/>
    </row>
    <row r="149" spans="1:10" s="126" customFormat="1" ht="13.8" x14ac:dyDescent="0.25">
      <c r="A149" s="188"/>
      <c r="B149" s="26"/>
      <c r="C149" s="26"/>
      <c r="D149" s="29" t="s">
        <v>1088</v>
      </c>
      <c r="E149" s="26"/>
      <c r="F149" s="30">
        <f>1.2*1.6</f>
        <v>1.92</v>
      </c>
      <c r="G149" s="299"/>
      <c r="H149" s="28"/>
      <c r="J149" s="125"/>
    </row>
    <row r="150" spans="1:10" s="128" customFormat="1" ht="13.8" x14ac:dyDescent="0.2">
      <c r="A150" s="188">
        <v>72</v>
      </c>
      <c r="B150" s="26">
        <v>971</v>
      </c>
      <c r="C150" s="26" t="s">
        <v>1094</v>
      </c>
      <c r="D150" s="26" t="s">
        <v>1095</v>
      </c>
      <c r="E150" s="26" t="s">
        <v>17</v>
      </c>
      <c r="F150" s="27">
        <f>F151</f>
        <v>11</v>
      </c>
      <c r="G150" s="299"/>
      <c r="H150" s="28">
        <f>F150*G150</f>
        <v>0</v>
      </c>
      <c r="J150" s="125"/>
    </row>
    <row r="151" spans="1:10" s="126" customFormat="1" ht="13.8" x14ac:dyDescent="0.25">
      <c r="A151" s="188"/>
      <c r="B151" s="26"/>
      <c r="C151" s="26"/>
      <c r="D151" s="29" t="s">
        <v>1096</v>
      </c>
      <c r="E151" s="26"/>
      <c r="F151" s="30">
        <v>11</v>
      </c>
      <c r="G151" s="299"/>
      <c r="H151" s="28"/>
      <c r="J151" s="125"/>
    </row>
    <row r="152" spans="1:10" s="128" customFormat="1" ht="13.8" x14ac:dyDescent="0.2">
      <c r="A152" s="188">
        <v>73</v>
      </c>
      <c r="B152" s="26">
        <v>974</v>
      </c>
      <c r="C152" s="26">
        <v>974042557</v>
      </c>
      <c r="D152" s="26" t="s">
        <v>1081</v>
      </c>
      <c r="E152" s="26" t="s">
        <v>73</v>
      </c>
      <c r="F152" s="27">
        <f>F153</f>
        <v>95</v>
      </c>
      <c r="G152" s="299"/>
      <c r="H152" s="28">
        <f>F152*G152</f>
        <v>0</v>
      </c>
      <c r="J152" s="125"/>
    </row>
    <row r="153" spans="1:10" s="126" customFormat="1" ht="13.8" x14ac:dyDescent="0.25">
      <c r="A153" s="188"/>
      <c r="B153" s="26"/>
      <c r="C153" s="26"/>
      <c r="D153" s="29" t="s">
        <v>1082</v>
      </c>
      <c r="E153" s="26"/>
      <c r="F153" s="30">
        <v>95</v>
      </c>
      <c r="G153" s="299"/>
      <c r="H153" s="28"/>
      <c r="J153" s="125"/>
    </row>
    <row r="154" spans="1:10" s="128" customFormat="1" ht="20.399999999999999" x14ac:dyDescent="0.2">
      <c r="A154" s="188">
        <v>74</v>
      </c>
      <c r="B154" s="26">
        <v>974</v>
      </c>
      <c r="C154" s="26">
        <v>974042559</v>
      </c>
      <c r="D154" s="26" t="s">
        <v>1083</v>
      </c>
      <c r="E154" s="26" t="s">
        <v>73</v>
      </c>
      <c r="F154" s="27">
        <f>F155</f>
        <v>95</v>
      </c>
      <c r="G154" s="299"/>
      <c r="H154" s="28">
        <f>F154*G154</f>
        <v>0</v>
      </c>
      <c r="J154" s="125"/>
    </row>
    <row r="155" spans="1:10" s="126" customFormat="1" ht="13.8" x14ac:dyDescent="0.25">
      <c r="A155" s="188"/>
      <c r="B155" s="26"/>
      <c r="C155" s="26"/>
      <c r="D155" s="29" t="s">
        <v>1084</v>
      </c>
      <c r="E155" s="26"/>
      <c r="F155" s="30">
        <f>F152</f>
        <v>95</v>
      </c>
      <c r="G155" s="299"/>
      <c r="H155" s="28"/>
      <c r="J155" s="125"/>
    </row>
    <row r="156" spans="1:10" s="128" customFormat="1" ht="20.399999999999999" x14ac:dyDescent="0.2">
      <c r="A156" s="188">
        <v>75</v>
      </c>
      <c r="B156" s="26">
        <v>978</v>
      </c>
      <c r="C156" s="26">
        <v>978013191</v>
      </c>
      <c r="D156" s="26" t="s">
        <v>1115</v>
      </c>
      <c r="E156" s="26" t="s">
        <v>18</v>
      </c>
      <c r="F156" s="27">
        <f>F157</f>
        <v>227.04</v>
      </c>
      <c r="G156" s="299"/>
      <c r="H156" s="28">
        <f>F156*G156</f>
        <v>0</v>
      </c>
      <c r="J156" s="125"/>
    </row>
    <row r="157" spans="1:10" s="126" customFormat="1" ht="13.8" x14ac:dyDescent="0.25">
      <c r="A157" s="188"/>
      <c r="B157" s="26"/>
      <c r="C157" s="26"/>
      <c r="D157" s="29" t="s">
        <v>1116</v>
      </c>
      <c r="E157" s="26"/>
      <c r="F157" s="30">
        <f>3.3*(18.9*2+10.6*2+9.8)</f>
        <v>227.04</v>
      </c>
      <c r="G157" s="299"/>
      <c r="H157" s="28"/>
      <c r="J157" s="125"/>
    </row>
    <row r="158" spans="1:10" s="128" customFormat="1" ht="13.8" x14ac:dyDescent="0.2">
      <c r="A158" s="188">
        <v>76</v>
      </c>
      <c r="B158" s="26">
        <v>978</v>
      </c>
      <c r="C158" s="26">
        <v>978059541</v>
      </c>
      <c r="D158" s="26" t="s">
        <v>126</v>
      </c>
      <c r="E158" s="26" t="s">
        <v>18</v>
      </c>
      <c r="F158" s="27">
        <f>SUM(F159:F159)</f>
        <v>139.94999999999999</v>
      </c>
      <c r="G158" s="299"/>
      <c r="H158" s="28">
        <f>F158*G158</f>
        <v>0</v>
      </c>
      <c r="J158" s="125"/>
    </row>
    <row r="159" spans="1:10" s="126" customFormat="1" ht="21" x14ac:dyDescent="0.25">
      <c r="A159" s="188"/>
      <c r="B159" s="26"/>
      <c r="C159" s="26"/>
      <c r="D159" s="29" t="s">
        <v>1112</v>
      </c>
      <c r="E159" s="26"/>
      <c r="F159" s="30">
        <f>1.5*(17.6+6.6+5+12.3+25.8+3.2+3.2+6+9+2+2.6)</f>
        <v>139.94999999999999</v>
      </c>
      <c r="G159" s="299"/>
      <c r="H159" s="28"/>
      <c r="J159" s="125"/>
    </row>
    <row r="160" spans="1:10" x14ac:dyDescent="0.3">
      <c r="A160" s="189"/>
      <c r="B160" s="15"/>
      <c r="C160" s="15">
        <v>99</v>
      </c>
      <c r="D160" s="15" t="s">
        <v>247</v>
      </c>
      <c r="E160" s="15"/>
      <c r="F160" s="16"/>
      <c r="G160" s="302"/>
      <c r="H160" s="17">
        <f>SUM(H161:H168)</f>
        <v>0</v>
      </c>
    </row>
    <row r="161" spans="1:10" s="128" customFormat="1" ht="13.8" x14ac:dyDescent="0.2">
      <c r="A161" s="188">
        <v>77</v>
      </c>
      <c r="B161" s="26">
        <v>997</v>
      </c>
      <c r="C161" s="26">
        <v>997013501</v>
      </c>
      <c r="D161" s="26" t="s">
        <v>710</v>
      </c>
      <c r="E161" s="26" t="s">
        <v>118</v>
      </c>
      <c r="F161" s="27">
        <v>211</v>
      </c>
      <c r="G161" s="299"/>
      <c r="H161" s="28">
        <f>F161*G161</f>
        <v>0</v>
      </c>
      <c r="J161" s="125"/>
    </row>
    <row r="162" spans="1:10" s="128" customFormat="1" ht="13.8" x14ac:dyDescent="0.2">
      <c r="A162" s="188">
        <v>78</v>
      </c>
      <c r="B162" s="26">
        <v>997</v>
      </c>
      <c r="C162" s="26">
        <v>997013509</v>
      </c>
      <c r="D162" s="26" t="s">
        <v>152</v>
      </c>
      <c r="E162" s="26" t="s">
        <v>118</v>
      </c>
      <c r="F162" s="27">
        <f>F163</f>
        <v>4009</v>
      </c>
      <c r="G162" s="299"/>
      <c r="H162" s="28">
        <f>F162*G162</f>
        <v>0</v>
      </c>
      <c r="J162" s="125"/>
    </row>
    <row r="163" spans="1:10" s="126" customFormat="1" ht="13.8" x14ac:dyDescent="0.25">
      <c r="A163" s="188"/>
      <c r="B163" s="26"/>
      <c r="C163" s="26"/>
      <c r="D163" s="29" t="s">
        <v>1218</v>
      </c>
      <c r="E163" s="26"/>
      <c r="F163" s="30">
        <f>19*211</f>
        <v>4009</v>
      </c>
      <c r="G163" s="299"/>
      <c r="H163" s="28"/>
      <c r="J163" s="125"/>
    </row>
    <row r="164" spans="1:10" s="128" customFormat="1" ht="13.8" x14ac:dyDescent="0.2">
      <c r="A164" s="188">
        <v>79</v>
      </c>
      <c r="B164" s="26">
        <v>997</v>
      </c>
      <c r="C164" s="26" t="s">
        <v>153</v>
      </c>
      <c r="D164" s="26" t="s">
        <v>154</v>
      </c>
      <c r="E164" s="26" t="s">
        <v>118</v>
      </c>
      <c r="F164" s="27">
        <f>F165</f>
        <v>211</v>
      </c>
      <c r="G164" s="299"/>
      <c r="H164" s="28">
        <f>F164*G164</f>
        <v>0</v>
      </c>
      <c r="J164" s="125"/>
    </row>
    <row r="165" spans="1:10" s="126" customFormat="1" ht="21" x14ac:dyDescent="0.25">
      <c r="A165" s="188"/>
      <c r="B165" s="26"/>
      <c r="C165" s="26"/>
      <c r="D165" s="29" t="s">
        <v>1219</v>
      </c>
      <c r="E165" s="26"/>
      <c r="F165" s="30">
        <v>211</v>
      </c>
      <c r="G165" s="299"/>
      <c r="H165" s="28"/>
      <c r="J165" s="125"/>
    </row>
    <row r="166" spans="1:10" s="128" customFormat="1" ht="13.8" x14ac:dyDescent="0.2">
      <c r="A166" s="188">
        <v>80</v>
      </c>
      <c r="B166" s="26">
        <v>998</v>
      </c>
      <c r="C166" s="26">
        <v>998011001</v>
      </c>
      <c r="D166" s="26" t="s">
        <v>248</v>
      </c>
      <c r="E166" s="26" t="s">
        <v>118</v>
      </c>
      <c r="F166" s="27">
        <v>84</v>
      </c>
      <c r="G166" s="299"/>
      <c r="H166" s="28">
        <f>F166*G166</f>
        <v>0</v>
      </c>
      <c r="J166" s="125"/>
    </row>
    <row r="167" spans="1:10" s="128" customFormat="1" ht="13.8" x14ac:dyDescent="0.2">
      <c r="A167" s="188">
        <v>81</v>
      </c>
      <c r="B167" s="26">
        <v>998</v>
      </c>
      <c r="C167" s="26" t="s">
        <v>64</v>
      </c>
      <c r="D167" s="26" t="s">
        <v>47</v>
      </c>
      <c r="E167" s="26" t="s">
        <v>46</v>
      </c>
      <c r="F167" s="27">
        <f>F168</f>
        <v>1</v>
      </c>
      <c r="G167" s="299"/>
      <c r="H167" s="28">
        <f>F167*G167</f>
        <v>0</v>
      </c>
      <c r="J167" s="125"/>
    </row>
    <row r="168" spans="1:10" s="126" customFormat="1" ht="24.9" customHeight="1" x14ac:dyDescent="0.25">
      <c r="A168" s="188"/>
      <c r="B168" s="26"/>
      <c r="C168" s="26"/>
      <c r="D168" s="29" t="s">
        <v>65</v>
      </c>
      <c r="E168" s="26"/>
      <c r="F168" s="30">
        <v>1</v>
      </c>
      <c r="G168" s="299"/>
      <c r="H168" s="28"/>
      <c r="J168" s="125"/>
    </row>
    <row r="169" spans="1:10" x14ac:dyDescent="0.3">
      <c r="A169" s="191"/>
      <c r="B169" s="11"/>
      <c r="C169" s="11" t="s">
        <v>19</v>
      </c>
      <c r="D169" s="11" t="s">
        <v>20</v>
      </c>
      <c r="E169" s="11"/>
      <c r="F169" s="12"/>
      <c r="G169" s="303"/>
      <c r="H169" s="13">
        <f>H170+H184+H200+H206+H223+H235+H307+H313+H338+H350+H361+H364+H372+H382</f>
        <v>0</v>
      </c>
      <c r="J169" s="125"/>
    </row>
    <row r="170" spans="1:10" x14ac:dyDescent="0.3">
      <c r="A170" s="189"/>
      <c r="B170" s="15"/>
      <c r="C170" s="15">
        <v>711</v>
      </c>
      <c r="D170" s="15" t="s">
        <v>113</v>
      </c>
      <c r="E170" s="15"/>
      <c r="F170" s="16"/>
      <c r="G170" s="298"/>
      <c r="H170" s="17">
        <f>SUM(H171:H183)</f>
        <v>0</v>
      </c>
    </row>
    <row r="171" spans="1:10" s="123" customFormat="1" ht="13.8" x14ac:dyDescent="0.25">
      <c r="A171" s="188">
        <v>82</v>
      </c>
      <c r="B171" s="26">
        <v>711</v>
      </c>
      <c r="C171" s="26">
        <v>711111001</v>
      </c>
      <c r="D171" s="26" t="s">
        <v>112</v>
      </c>
      <c r="E171" s="26" t="s">
        <v>18</v>
      </c>
      <c r="F171" s="27">
        <f>F172</f>
        <v>203.9</v>
      </c>
      <c r="G171" s="299"/>
      <c r="H171" s="28">
        <f>F171*G171</f>
        <v>0</v>
      </c>
      <c r="J171" s="125"/>
    </row>
    <row r="172" spans="1:10" s="123" customFormat="1" ht="13.8" x14ac:dyDescent="0.25">
      <c r="A172" s="188"/>
      <c r="B172" s="26"/>
      <c r="C172" s="26"/>
      <c r="D172" s="29" t="s">
        <v>1170</v>
      </c>
      <c r="E172" s="26"/>
      <c r="F172" s="30">
        <v>203.9</v>
      </c>
      <c r="G172" s="299"/>
      <c r="H172" s="28"/>
      <c r="J172" s="125"/>
    </row>
    <row r="173" spans="1:10" s="173" customFormat="1" x14ac:dyDescent="0.3">
      <c r="A173" s="190">
        <v>83</v>
      </c>
      <c r="B173" s="170">
        <v>111</v>
      </c>
      <c r="C173" s="170">
        <v>11163153</v>
      </c>
      <c r="D173" s="170" t="s">
        <v>114</v>
      </c>
      <c r="E173" s="170" t="s">
        <v>115</v>
      </c>
      <c r="F173" s="171">
        <f>F171*0.4</f>
        <v>81.56</v>
      </c>
      <c r="G173" s="300"/>
      <c r="H173" s="172">
        <f>F173*G173</f>
        <v>0</v>
      </c>
      <c r="J173" s="174"/>
    </row>
    <row r="174" spans="1:10" s="123" customFormat="1" ht="13.8" x14ac:dyDescent="0.25">
      <c r="A174" s="188">
        <v>84</v>
      </c>
      <c r="B174" s="26">
        <v>711</v>
      </c>
      <c r="C174" s="26">
        <v>711113127</v>
      </c>
      <c r="D174" s="26" t="s">
        <v>1182</v>
      </c>
      <c r="E174" s="26" t="s">
        <v>18</v>
      </c>
      <c r="F174" s="27">
        <f>F175</f>
        <v>4.3</v>
      </c>
      <c r="G174" s="299"/>
      <c r="H174" s="28">
        <f>F174*G174</f>
        <v>0</v>
      </c>
      <c r="J174" s="125"/>
    </row>
    <row r="175" spans="1:10" s="123" customFormat="1" ht="13.8" x14ac:dyDescent="0.25">
      <c r="A175" s="188"/>
      <c r="B175" s="26"/>
      <c r="C175" s="26"/>
      <c r="D175" s="29" t="s">
        <v>1183</v>
      </c>
      <c r="E175" s="26"/>
      <c r="F175" s="30">
        <v>4.3</v>
      </c>
      <c r="G175" s="299"/>
      <c r="H175" s="28"/>
      <c r="J175" s="125"/>
    </row>
    <row r="176" spans="1:10" s="128" customFormat="1" ht="13.8" x14ac:dyDescent="0.2">
      <c r="A176" s="188">
        <v>85</v>
      </c>
      <c r="B176" s="26">
        <v>711</v>
      </c>
      <c r="C176" s="26">
        <v>711131811</v>
      </c>
      <c r="D176" s="26" t="s">
        <v>201</v>
      </c>
      <c r="E176" s="26" t="s">
        <v>18</v>
      </c>
      <c r="F176" s="27">
        <f>F177</f>
        <v>390.4</v>
      </c>
      <c r="G176" s="299"/>
      <c r="H176" s="28">
        <f>F176*G176</f>
        <v>0</v>
      </c>
      <c r="J176" s="125"/>
    </row>
    <row r="177" spans="1:10" s="123" customFormat="1" ht="21" x14ac:dyDescent="0.25">
      <c r="A177" s="188"/>
      <c r="B177" s="26"/>
      <c r="C177" s="26"/>
      <c r="D177" s="29" t="s">
        <v>1111</v>
      </c>
      <c r="E177" s="26"/>
      <c r="F177" s="30">
        <f>2*(6+22.8+8+5.8+3.3+9.4+14.1+8.9+1.1+1.5+1.1+1.3+0.8+17.3+4.5+61.3+4+18+6)</f>
        <v>390.4</v>
      </c>
      <c r="G177" s="299"/>
      <c r="H177" s="28"/>
      <c r="J177" s="125"/>
    </row>
    <row r="178" spans="1:10" s="123" customFormat="1" ht="13.8" x14ac:dyDescent="0.25">
      <c r="A178" s="188">
        <v>86</v>
      </c>
      <c r="B178" s="26">
        <v>711</v>
      </c>
      <c r="C178" s="26">
        <v>711141559</v>
      </c>
      <c r="D178" s="26" t="s">
        <v>116</v>
      </c>
      <c r="E178" s="26" t="s">
        <v>18</v>
      </c>
      <c r="F178" s="27">
        <f>F179</f>
        <v>203.9</v>
      </c>
      <c r="G178" s="299"/>
      <c r="H178" s="28">
        <f>F178*G178</f>
        <v>0</v>
      </c>
      <c r="J178" s="125"/>
    </row>
    <row r="179" spans="1:10" s="123" customFormat="1" ht="13.8" x14ac:dyDescent="0.25">
      <c r="A179" s="188"/>
      <c r="B179" s="26"/>
      <c r="C179" s="26"/>
      <c r="D179" s="29" t="s">
        <v>1171</v>
      </c>
      <c r="E179" s="26"/>
      <c r="F179" s="30">
        <v>203.9</v>
      </c>
      <c r="G179" s="299"/>
      <c r="H179" s="28"/>
      <c r="J179" s="125"/>
    </row>
    <row r="180" spans="1:10" s="173" customFormat="1" ht="21.6" x14ac:dyDescent="0.3">
      <c r="A180" s="190">
        <v>87</v>
      </c>
      <c r="B180" s="170">
        <v>628</v>
      </c>
      <c r="C180" s="170">
        <v>62853004</v>
      </c>
      <c r="D180" s="170" t="s">
        <v>220</v>
      </c>
      <c r="E180" s="170" t="s">
        <v>18</v>
      </c>
      <c r="F180" s="171">
        <f>1.1*F178</f>
        <v>224.29000000000002</v>
      </c>
      <c r="G180" s="300"/>
      <c r="H180" s="172">
        <f>F180*G180</f>
        <v>0</v>
      </c>
      <c r="J180" s="174"/>
    </row>
    <row r="181" spans="1:10" s="123" customFormat="1" ht="13.8" x14ac:dyDescent="0.25">
      <c r="A181" s="188">
        <v>88</v>
      </c>
      <c r="B181" s="26">
        <v>998</v>
      </c>
      <c r="C181" s="26">
        <v>998711201</v>
      </c>
      <c r="D181" s="26" t="s">
        <v>245</v>
      </c>
      <c r="E181" s="26" t="s">
        <v>21</v>
      </c>
      <c r="F181" s="27">
        <v>3.05</v>
      </c>
      <c r="G181" s="299"/>
      <c r="H181" s="28">
        <f>F181*G181</f>
        <v>0</v>
      </c>
      <c r="J181" s="125"/>
    </row>
    <row r="182" spans="1:10" s="123" customFormat="1" ht="13.8" x14ac:dyDescent="0.25">
      <c r="A182" s="188">
        <v>89</v>
      </c>
      <c r="B182" s="26">
        <v>999</v>
      </c>
      <c r="C182" s="26" t="s">
        <v>155</v>
      </c>
      <c r="D182" s="26" t="s">
        <v>156</v>
      </c>
      <c r="E182" s="26" t="s">
        <v>46</v>
      </c>
      <c r="F182" s="27">
        <v>1</v>
      </c>
      <c r="G182" s="299"/>
      <c r="H182" s="28">
        <f>F182*G182</f>
        <v>0</v>
      </c>
      <c r="J182" s="125"/>
    </row>
    <row r="183" spans="1:10" s="123" customFormat="1" ht="13.8" x14ac:dyDescent="0.25">
      <c r="A183" s="188"/>
      <c r="B183" s="26"/>
      <c r="C183" s="26"/>
      <c r="D183" s="29" t="s">
        <v>80</v>
      </c>
      <c r="E183" s="26"/>
      <c r="F183" s="30">
        <v>1</v>
      </c>
      <c r="G183" s="299"/>
      <c r="H183" s="28"/>
      <c r="J183" s="125"/>
    </row>
    <row r="184" spans="1:10" x14ac:dyDescent="0.3">
      <c r="A184" s="188"/>
      <c r="B184" s="15"/>
      <c r="C184" s="15">
        <v>713</v>
      </c>
      <c r="D184" s="15" t="s">
        <v>77</v>
      </c>
      <c r="E184" s="15"/>
      <c r="F184" s="16"/>
      <c r="G184" s="298"/>
      <c r="H184" s="17">
        <f>SUM(H185:H199)</f>
        <v>0</v>
      </c>
    </row>
    <row r="185" spans="1:10" s="128" customFormat="1" ht="13.8" x14ac:dyDescent="0.2">
      <c r="A185" s="188">
        <v>90</v>
      </c>
      <c r="B185" s="26">
        <v>713</v>
      </c>
      <c r="C185" s="26">
        <v>713121111</v>
      </c>
      <c r="D185" s="26" t="s">
        <v>1167</v>
      </c>
      <c r="E185" s="26" t="s">
        <v>18</v>
      </c>
      <c r="F185" s="27">
        <f>F186</f>
        <v>203.9</v>
      </c>
      <c r="G185" s="299"/>
      <c r="H185" s="28">
        <f>F185*G185</f>
        <v>0</v>
      </c>
      <c r="J185" s="125"/>
    </row>
    <row r="186" spans="1:10" s="123" customFormat="1" ht="13.8" x14ac:dyDescent="0.25">
      <c r="A186" s="188"/>
      <c r="B186" s="26"/>
      <c r="C186" s="26"/>
      <c r="D186" s="29" t="s">
        <v>1168</v>
      </c>
      <c r="E186" s="26"/>
      <c r="F186" s="30">
        <f>95.9+108</f>
        <v>203.9</v>
      </c>
      <c r="G186" s="299"/>
      <c r="H186" s="28"/>
      <c r="J186" s="125"/>
    </row>
    <row r="187" spans="1:10" s="194" customFormat="1" x14ac:dyDescent="0.2">
      <c r="A187" s="190">
        <v>91</v>
      </c>
      <c r="B187" s="170">
        <v>283</v>
      </c>
      <c r="C187" s="170">
        <v>28375908</v>
      </c>
      <c r="D187" s="170" t="s">
        <v>1169</v>
      </c>
      <c r="E187" s="170" t="s">
        <v>18</v>
      </c>
      <c r="F187" s="171">
        <f>1.1*F185</f>
        <v>224.29000000000002</v>
      </c>
      <c r="G187" s="300"/>
      <c r="H187" s="172">
        <f>F187*G187</f>
        <v>0</v>
      </c>
      <c r="J187" s="174"/>
    </row>
    <row r="188" spans="1:10" s="123" customFormat="1" ht="13.8" x14ac:dyDescent="0.25">
      <c r="A188" s="188">
        <v>92</v>
      </c>
      <c r="B188" s="26">
        <v>713</v>
      </c>
      <c r="C188" s="26" t="s">
        <v>78</v>
      </c>
      <c r="D188" s="26" t="s">
        <v>1180</v>
      </c>
      <c r="E188" s="26" t="s">
        <v>18</v>
      </c>
      <c r="F188" s="27">
        <f>F196</f>
        <v>80.155000000000001</v>
      </c>
      <c r="G188" s="299"/>
      <c r="H188" s="28">
        <f>F188*G188</f>
        <v>0</v>
      </c>
      <c r="J188" s="125"/>
    </row>
    <row r="189" spans="1:10" s="123" customFormat="1" ht="13.8" x14ac:dyDescent="0.25">
      <c r="A189" s="188"/>
      <c r="B189" s="26"/>
      <c r="C189" s="26"/>
      <c r="D189" s="29" t="s">
        <v>79</v>
      </c>
      <c r="E189" s="26"/>
      <c r="F189" s="30"/>
      <c r="G189" s="299"/>
      <c r="H189" s="28"/>
      <c r="J189" s="125"/>
    </row>
    <row r="190" spans="1:10" s="123" customFormat="1" ht="21" x14ac:dyDescent="0.25">
      <c r="A190" s="188"/>
      <c r="B190" s="26"/>
      <c r="C190" s="26"/>
      <c r="D190" s="29" t="s">
        <v>221</v>
      </c>
      <c r="E190" s="26"/>
      <c r="F190" s="30"/>
      <c r="G190" s="299"/>
      <c r="H190" s="28"/>
      <c r="J190" s="125"/>
    </row>
    <row r="191" spans="1:10" s="123" customFormat="1" ht="21" x14ac:dyDescent="0.25">
      <c r="A191" s="188"/>
      <c r="B191" s="26"/>
      <c r="C191" s="26"/>
      <c r="D191" s="29" t="s">
        <v>222</v>
      </c>
      <c r="E191" s="26"/>
      <c r="F191" s="30"/>
      <c r="G191" s="299"/>
      <c r="H191" s="28"/>
      <c r="J191" s="125"/>
    </row>
    <row r="192" spans="1:10" s="123" customFormat="1" ht="13.8" x14ac:dyDescent="0.25">
      <c r="A192" s="188"/>
      <c r="B192" s="26"/>
      <c r="C192" s="26"/>
      <c r="D192" s="29" t="s">
        <v>1179</v>
      </c>
      <c r="E192" s="26"/>
      <c r="F192" s="30"/>
      <c r="G192" s="299"/>
      <c r="H192" s="28"/>
      <c r="J192" s="125"/>
    </row>
    <row r="193" spans="1:10" s="123" customFormat="1" ht="13.8" x14ac:dyDescent="0.25">
      <c r="A193" s="188"/>
      <c r="B193" s="26"/>
      <c r="C193" s="26"/>
      <c r="D193" s="29" t="s">
        <v>223</v>
      </c>
      <c r="E193" s="26"/>
      <c r="F193" s="30"/>
      <c r="G193" s="299"/>
      <c r="H193" s="28"/>
      <c r="J193" s="125"/>
    </row>
    <row r="194" spans="1:10" s="123" customFormat="1" ht="13.8" x14ac:dyDescent="0.25">
      <c r="A194" s="188"/>
      <c r="B194" s="26"/>
      <c r="C194" s="26"/>
      <c r="D194" s="29" t="s">
        <v>1179</v>
      </c>
      <c r="E194" s="26"/>
      <c r="F194" s="30"/>
      <c r="G194" s="299"/>
      <c r="H194" s="28"/>
      <c r="J194" s="125"/>
    </row>
    <row r="195" spans="1:10" s="123" customFormat="1" ht="21" x14ac:dyDescent="0.25">
      <c r="A195" s="188"/>
      <c r="B195" s="26"/>
      <c r="C195" s="26"/>
      <c r="D195" s="29" t="s">
        <v>1181</v>
      </c>
      <c r="E195" s="26"/>
      <c r="F195" s="30"/>
      <c r="G195" s="299"/>
      <c r="H195" s="28"/>
      <c r="J195" s="125"/>
    </row>
    <row r="196" spans="1:10" s="123" customFormat="1" ht="31.2" x14ac:dyDescent="0.25">
      <c r="A196" s="188"/>
      <c r="B196" s="26"/>
      <c r="C196" s="26"/>
      <c r="D196" s="29" t="s">
        <v>708</v>
      </c>
      <c r="E196" s="26"/>
      <c r="F196" s="30">
        <f>1.15*69.7</f>
        <v>80.155000000000001</v>
      </c>
      <c r="G196" s="299"/>
      <c r="H196" s="28"/>
      <c r="J196" s="125"/>
    </row>
    <row r="197" spans="1:10" s="123" customFormat="1" ht="13.8" x14ac:dyDescent="0.25">
      <c r="A197" s="188">
        <v>9</v>
      </c>
      <c r="B197" s="26">
        <v>998</v>
      </c>
      <c r="C197" s="26">
        <v>998713201</v>
      </c>
      <c r="D197" s="26" t="s">
        <v>244</v>
      </c>
      <c r="E197" s="26" t="s">
        <v>21</v>
      </c>
      <c r="F197" s="27">
        <v>1.77</v>
      </c>
      <c r="G197" s="299"/>
      <c r="H197" s="28">
        <f>F197*G197</f>
        <v>0</v>
      </c>
      <c r="J197" s="125"/>
    </row>
    <row r="198" spans="1:10" s="123" customFormat="1" ht="13.8" x14ac:dyDescent="0.25">
      <c r="A198" s="188">
        <v>94</v>
      </c>
      <c r="B198" s="26">
        <v>999</v>
      </c>
      <c r="C198" s="26" t="s">
        <v>81</v>
      </c>
      <c r="D198" s="26" t="s">
        <v>82</v>
      </c>
      <c r="E198" s="26" t="s">
        <v>46</v>
      </c>
      <c r="F198" s="27">
        <v>1</v>
      </c>
      <c r="G198" s="299"/>
      <c r="H198" s="28">
        <f>F198*G198</f>
        <v>0</v>
      </c>
      <c r="J198" s="125"/>
    </row>
    <row r="199" spans="1:10" s="123" customFormat="1" ht="13.8" x14ac:dyDescent="0.25">
      <c r="A199" s="188"/>
      <c r="B199" s="26"/>
      <c r="C199" s="26"/>
      <c r="D199" s="29" t="s">
        <v>80</v>
      </c>
      <c r="E199" s="26"/>
      <c r="F199" s="30">
        <v>1</v>
      </c>
      <c r="G199" s="299"/>
      <c r="H199" s="28"/>
      <c r="J199" s="125"/>
    </row>
    <row r="200" spans="1:10" x14ac:dyDescent="0.3">
      <c r="A200" s="189"/>
      <c r="B200" s="15"/>
      <c r="C200" s="15">
        <v>762</v>
      </c>
      <c r="D200" s="15" t="s">
        <v>110</v>
      </c>
      <c r="E200" s="15"/>
      <c r="F200" s="16"/>
      <c r="G200" s="298"/>
      <c r="H200" s="17">
        <f>SUM(H201:H205)</f>
        <v>0</v>
      </c>
    </row>
    <row r="201" spans="1:10" s="123" customFormat="1" ht="21" x14ac:dyDescent="0.25">
      <c r="A201" s="188">
        <v>95</v>
      </c>
      <c r="B201" s="26">
        <v>762</v>
      </c>
      <c r="C201" s="26">
        <v>762421828</v>
      </c>
      <c r="D201" s="26" t="s">
        <v>1097</v>
      </c>
      <c r="E201" s="26" t="s">
        <v>18</v>
      </c>
      <c r="F201" s="27">
        <f>F202</f>
        <v>42.8</v>
      </c>
      <c r="G201" s="299"/>
      <c r="H201" s="28">
        <f>F201*G201</f>
        <v>0</v>
      </c>
      <c r="J201" s="125"/>
    </row>
    <row r="202" spans="1:10" s="123" customFormat="1" x14ac:dyDescent="0.3">
      <c r="A202" s="192"/>
      <c r="B202" s="29"/>
      <c r="C202" s="29"/>
      <c r="D202" s="29" t="s">
        <v>1098</v>
      </c>
      <c r="E202" s="29"/>
      <c r="F202" s="127">
        <f>16.7+8+14.1+4</f>
        <v>42.8</v>
      </c>
      <c r="G202" s="304"/>
      <c r="H202" s="124"/>
      <c r="I202" s="126"/>
      <c r="J202" s="146"/>
    </row>
    <row r="203" spans="1:10" s="123" customFormat="1" ht="13.8" x14ac:dyDescent="0.25">
      <c r="A203" s="188">
        <v>96</v>
      </c>
      <c r="B203" s="26">
        <v>998</v>
      </c>
      <c r="C203" s="26">
        <v>998762201</v>
      </c>
      <c r="D203" s="26" t="s">
        <v>243</v>
      </c>
      <c r="E203" s="26" t="s">
        <v>21</v>
      </c>
      <c r="F203" s="27">
        <v>5.13</v>
      </c>
      <c r="G203" s="299"/>
      <c r="H203" s="28">
        <f>F203*G203</f>
        <v>0</v>
      </c>
      <c r="J203" s="125"/>
    </row>
    <row r="204" spans="1:10" s="123" customFormat="1" ht="13.8" x14ac:dyDescent="0.25">
      <c r="A204" s="188">
        <v>97</v>
      </c>
      <c r="B204" s="26">
        <v>999</v>
      </c>
      <c r="C204" s="26" t="s">
        <v>157</v>
      </c>
      <c r="D204" s="26" t="s">
        <v>158</v>
      </c>
      <c r="E204" s="26" t="s">
        <v>46</v>
      </c>
      <c r="F204" s="27">
        <v>1</v>
      </c>
      <c r="G204" s="299"/>
      <c r="H204" s="28">
        <f>F204*G204</f>
        <v>0</v>
      </c>
      <c r="J204" s="125"/>
    </row>
    <row r="205" spans="1:10" s="123" customFormat="1" ht="13.8" x14ac:dyDescent="0.25">
      <c r="A205" s="188"/>
      <c r="B205" s="26"/>
      <c r="C205" s="26"/>
      <c r="D205" s="29" t="s">
        <v>80</v>
      </c>
      <c r="E205" s="26"/>
      <c r="F205" s="30">
        <v>1</v>
      </c>
      <c r="G205" s="299"/>
      <c r="H205" s="28"/>
      <c r="J205" s="125"/>
    </row>
    <row r="206" spans="1:10" x14ac:dyDescent="0.3">
      <c r="A206" s="189"/>
      <c r="B206" s="15"/>
      <c r="C206" s="15">
        <v>763</v>
      </c>
      <c r="D206" s="15" t="s">
        <v>125</v>
      </c>
      <c r="E206" s="15"/>
      <c r="F206" s="16"/>
      <c r="G206" s="298"/>
      <c r="H206" s="17">
        <f>SUM(H207:H222)</f>
        <v>0</v>
      </c>
    </row>
    <row r="207" spans="1:10" s="123" customFormat="1" ht="13.8" x14ac:dyDescent="0.25">
      <c r="A207" s="188">
        <v>98</v>
      </c>
      <c r="B207" s="26">
        <v>763</v>
      </c>
      <c r="C207" s="26">
        <v>763131411</v>
      </c>
      <c r="D207" s="26" t="s">
        <v>217</v>
      </c>
      <c r="E207" s="26" t="s">
        <v>18</v>
      </c>
      <c r="F207" s="27">
        <f>F208</f>
        <v>75.790000000000006</v>
      </c>
      <c r="G207" s="299"/>
      <c r="H207" s="28">
        <f>F207*G207</f>
        <v>0</v>
      </c>
      <c r="J207" s="125"/>
    </row>
    <row r="208" spans="1:10" s="123" customFormat="1" ht="21.6" x14ac:dyDescent="0.3">
      <c r="A208" s="192"/>
      <c r="B208" s="29"/>
      <c r="C208" s="29"/>
      <c r="D208" s="29" t="s">
        <v>1137</v>
      </c>
      <c r="E208" s="29"/>
      <c r="F208" s="127">
        <f>1.1*(16.5+25.5+5.1+5.1+2.8+4.3+4.6+5)</f>
        <v>75.790000000000006</v>
      </c>
      <c r="G208" s="304"/>
      <c r="H208" s="124"/>
      <c r="I208" s="126"/>
      <c r="J208" s="146"/>
    </row>
    <row r="209" spans="1:10" s="123" customFormat="1" ht="13.8" x14ac:dyDescent="0.25">
      <c r="A209" s="188">
        <v>99</v>
      </c>
      <c r="B209" s="26">
        <v>763</v>
      </c>
      <c r="C209" s="26">
        <v>763131451</v>
      </c>
      <c r="D209" s="26" t="s">
        <v>218</v>
      </c>
      <c r="E209" s="26" t="s">
        <v>18</v>
      </c>
      <c r="F209" s="27">
        <f>F210</f>
        <v>13.200000000000001</v>
      </c>
      <c r="G209" s="299"/>
      <c r="H209" s="28">
        <f>F209*G209</f>
        <v>0</v>
      </c>
      <c r="J209" s="125"/>
    </row>
    <row r="210" spans="1:10" s="123" customFormat="1" ht="21.6" x14ac:dyDescent="0.3">
      <c r="A210" s="192"/>
      <c r="B210" s="29"/>
      <c r="C210" s="29"/>
      <c r="D210" s="29" t="s">
        <v>1136</v>
      </c>
      <c r="E210" s="29"/>
      <c r="F210" s="127">
        <f>1.1*(9+1.3+1.7)</f>
        <v>13.200000000000001</v>
      </c>
      <c r="G210" s="304"/>
      <c r="H210" s="124"/>
      <c r="I210" s="126"/>
      <c r="J210" s="146"/>
    </row>
    <row r="211" spans="1:10" s="123" customFormat="1" ht="21" x14ac:dyDescent="0.25">
      <c r="A211" s="188">
        <v>100</v>
      </c>
      <c r="B211" s="26">
        <v>763</v>
      </c>
      <c r="C211" s="26">
        <v>763135102</v>
      </c>
      <c r="D211" s="26" t="s">
        <v>219</v>
      </c>
      <c r="E211" s="26" t="s">
        <v>18</v>
      </c>
      <c r="F211" s="27">
        <f>F212</f>
        <v>5.0999999999999996</v>
      </c>
      <c r="G211" s="299"/>
      <c r="H211" s="28">
        <f>F211*G211</f>
        <v>0</v>
      </c>
      <c r="J211" s="125"/>
    </row>
    <row r="212" spans="1:10" s="123" customFormat="1" x14ac:dyDescent="0.3">
      <c r="A212" s="192"/>
      <c r="B212" s="29"/>
      <c r="C212" s="29"/>
      <c r="D212" s="29" t="s">
        <v>1139</v>
      </c>
      <c r="E212" s="29"/>
      <c r="F212" s="127">
        <v>5.0999999999999996</v>
      </c>
      <c r="G212" s="304"/>
      <c r="H212" s="124"/>
      <c r="I212" s="126"/>
      <c r="J212" s="146"/>
    </row>
    <row r="213" spans="1:10" s="173" customFormat="1" ht="21.6" x14ac:dyDescent="0.3">
      <c r="A213" s="190">
        <v>101</v>
      </c>
      <c r="B213" s="170">
        <v>590</v>
      </c>
      <c r="C213" s="170">
        <v>59030596</v>
      </c>
      <c r="D213" s="170" t="s">
        <v>1138</v>
      </c>
      <c r="E213" s="170" t="s">
        <v>18</v>
      </c>
      <c r="F213" s="171">
        <f>1.1*F211</f>
        <v>5.61</v>
      </c>
      <c r="G213" s="300"/>
      <c r="H213" s="172">
        <f t="shared" ref="H213:H221" si="0">F213*G213</f>
        <v>0</v>
      </c>
      <c r="J213" s="174"/>
    </row>
    <row r="214" spans="1:10" s="123" customFormat="1" ht="41.4" x14ac:dyDescent="0.25">
      <c r="A214" s="188">
        <v>102</v>
      </c>
      <c r="B214" s="26">
        <v>763</v>
      </c>
      <c r="C214" s="26" t="s">
        <v>1140</v>
      </c>
      <c r="D214" s="26" t="s">
        <v>1226</v>
      </c>
      <c r="E214" s="26" t="s">
        <v>18</v>
      </c>
      <c r="F214" s="27">
        <f>7.2*14</f>
        <v>100.8</v>
      </c>
      <c r="G214" s="299"/>
      <c r="H214" s="28">
        <f t="shared" si="0"/>
        <v>0</v>
      </c>
      <c r="J214" s="125"/>
    </row>
    <row r="215" spans="1:10" s="123" customFormat="1" ht="13.8" x14ac:dyDescent="0.25">
      <c r="A215" s="188">
        <v>103</v>
      </c>
      <c r="B215" s="26">
        <v>763</v>
      </c>
      <c r="C215" s="26" t="s">
        <v>1141</v>
      </c>
      <c r="D215" s="26" t="s">
        <v>806</v>
      </c>
      <c r="E215" s="26" t="s">
        <v>18</v>
      </c>
      <c r="F215" s="27">
        <f>44*0.6</f>
        <v>26.4</v>
      </c>
      <c r="G215" s="299"/>
      <c r="H215" s="28">
        <f t="shared" si="0"/>
        <v>0</v>
      </c>
      <c r="J215" s="125"/>
    </row>
    <row r="216" spans="1:10" s="123" customFormat="1" ht="13.8" x14ac:dyDescent="0.25">
      <c r="A216" s="188">
        <v>104</v>
      </c>
      <c r="B216" s="26">
        <v>763</v>
      </c>
      <c r="C216" s="26" t="s">
        <v>1142</v>
      </c>
      <c r="D216" s="26" t="s">
        <v>807</v>
      </c>
      <c r="E216" s="26" t="s">
        <v>18</v>
      </c>
      <c r="F216" s="27">
        <v>93.93</v>
      </c>
      <c r="G216" s="299"/>
      <c r="H216" s="28">
        <f t="shared" si="0"/>
        <v>0</v>
      </c>
      <c r="J216" s="125"/>
    </row>
    <row r="217" spans="1:10" s="123" customFormat="1" ht="13.8" x14ac:dyDescent="0.25">
      <c r="A217" s="188">
        <v>105</v>
      </c>
      <c r="B217" s="26">
        <v>763</v>
      </c>
      <c r="C217" s="26" t="s">
        <v>1143</v>
      </c>
      <c r="D217" s="26" t="s">
        <v>808</v>
      </c>
      <c r="E217" s="26" t="s">
        <v>18</v>
      </c>
      <c r="F217" s="27">
        <v>93.93</v>
      </c>
      <c r="G217" s="299"/>
      <c r="H217" s="28">
        <f t="shared" si="0"/>
        <v>0</v>
      </c>
      <c r="J217" s="125"/>
    </row>
    <row r="218" spans="1:10" s="123" customFormat="1" ht="41.4" x14ac:dyDescent="0.25">
      <c r="A218" s="188">
        <v>106</v>
      </c>
      <c r="B218" s="26">
        <v>763</v>
      </c>
      <c r="C218" s="26" t="s">
        <v>1144</v>
      </c>
      <c r="D218" s="26" t="s">
        <v>1227</v>
      </c>
      <c r="E218" s="26" t="s">
        <v>18</v>
      </c>
      <c r="F218" s="27">
        <v>17</v>
      </c>
      <c r="G218" s="299"/>
      <c r="H218" s="28">
        <f t="shared" si="0"/>
        <v>0</v>
      </c>
      <c r="J218" s="125"/>
    </row>
    <row r="219" spans="1:10" s="123" customFormat="1" ht="13.8" x14ac:dyDescent="0.25">
      <c r="A219" s="188">
        <v>107</v>
      </c>
      <c r="B219" s="26">
        <v>763</v>
      </c>
      <c r="C219" s="26" t="s">
        <v>1145</v>
      </c>
      <c r="D219" s="26" t="s">
        <v>809</v>
      </c>
      <c r="E219" s="26" t="s">
        <v>18</v>
      </c>
      <c r="F219" s="27">
        <v>17</v>
      </c>
      <c r="G219" s="299"/>
      <c r="H219" s="28">
        <f t="shared" si="0"/>
        <v>0</v>
      </c>
      <c r="J219" s="125"/>
    </row>
    <row r="220" spans="1:10" s="123" customFormat="1" ht="13.8" x14ac:dyDescent="0.25">
      <c r="A220" s="188">
        <v>108</v>
      </c>
      <c r="B220" s="26">
        <v>998</v>
      </c>
      <c r="C220" s="26">
        <v>998763401</v>
      </c>
      <c r="D220" s="26" t="s">
        <v>242</v>
      </c>
      <c r="E220" s="26" t="s">
        <v>21</v>
      </c>
      <c r="F220" s="27">
        <v>1.42</v>
      </c>
      <c r="G220" s="299"/>
      <c r="H220" s="28">
        <f t="shared" si="0"/>
        <v>0</v>
      </c>
      <c r="J220" s="125"/>
    </row>
    <row r="221" spans="1:10" s="123" customFormat="1" ht="13.8" x14ac:dyDescent="0.25">
      <c r="A221" s="188">
        <v>109</v>
      </c>
      <c r="B221" s="26">
        <v>999</v>
      </c>
      <c r="C221" s="26" t="s">
        <v>159</v>
      </c>
      <c r="D221" s="26" t="s">
        <v>160</v>
      </c>
      <c r="E221" s="26" t="s">
        <v>46</v>
      </c>
      <c r="F221" s="27">
        <v>1</v>
      </c>
      <c r="G221" s="299"/>
      <c r="H221" s="28">
        <f t="shared" si="0"/>
        <v>0</v>
      </c>
      <c r="J221" s="125"/>
    </row>
    <row r="222" spans="1:10" s="123" customFormat="1" ht="13.8" x14ac:dyDescent="0.25">
      <c r="A222" s="188"/>
      <c r="B222" s="26"/>
      <c r="C222" s="26"/>
      <c r="D222" s="29" t="s">
        <v>80</v>
      </c>
      <c r="E222" s="26"/>
      <c r="F222" s="30">
        <v>1</v>
      </c>
      <c r="G222" s="299"/>
      <c r="H222" s="28"/>
      <c r="J222" s="125"/>
    </row>
    <row r="223" spans="1:10" x14ac:dyDescent="0.3">
      <c r="A223" s="189"/>
      <c r="B223" s="15"/>
      <c r="C223" s="15">
        <v>764</v>
      </c>
      <c r="D223" s="15" t="s">
        <v>74</v>
      </c>
      <c r="E223" s="15"/>
      <c r="F223" s="16"/>
      <c r="G223" s="298"/>
      <c r="H223" s="17">
        <f>SUM(H224:H234)</f>
        <v>0</v>
      </c>
    </row>
    <row r="224" spans="1:10" s="123" customFormat="1" ht="13.8" x14ac:dyDescent="0.25">
      <c r="A224" s="188">
        <v>110</v>
      </c>
      <c r="B224" s="26">
        <v>764</v>
      </c>
      <c r="C224" s="26" t="s">
        <v>706</v>
      </c>
      <c r="D224" s="26" t="s">
        <v>707</v>
      </c>
      <c r="E224" s="26" t="s">
        <v>46</v>
      </c>
      <c r="F224" s="27">
        <f>F225</f>
        <v>1</v>
      </c>
      <c r="G224" s="299"/>
      <c r="H224" s="28">
        <f>F224*G224</f>
        <v>0</v>
      </c>
      <c r="J224" s="125"/>
    </row>
    <row r="225" spans="1:10" s="123" customFormat="1" x14ac:dyDescent="0.3">
      <c r="A225" s="192"/>
      <c r="B225" s="29"/>
      <c r="C225" s="29"/>
      <c r="D225" s="29" t="s">
        <v>1070</v>
      </c>
      <c r="E225" s="29"/>
      <c r="F225" s="127">
        <v>1</v>
      </c>
      <c r="G225" s="304"/>
      <c r="H225" s="124"/>
      <c r="I225" s="126"/>
      <c r="J225" s="146"/>
    </row>
    <row r="226" spans="1:10" s="123" customFormat="1" ht="13.8" x14ac:dyDescent="0.25">
      <c r="A226" s="188">
        <v>111</v>
      </c>
      <c r="B226" s="26">
        <v>764</v>
      </c>
      <c r="C226" s="26" t="s">
        <v>94</v>
      </c>
      <c r="D226" s="26" t="s">
        <v>1071</v>
      </c>
      <c r="E226" s="26" t="s">
        <v>26</v>
      </c>
      <c r="F226" s="27">
        <f>F227</f>
        <v>3</v>
      </c>
      <c r="G226" s="299"/>
      <c r="H226" s="28">
        <f>F226*G226</f>
        <v>0</v>
      </c>
      <c r="J226" s="125"/>
    </row>
    <row r="227" spans="1:10" s="123" customFormat="1" ht="21.6" x14ac:dyDescent="0.3">
      <c r="A227" s="192"/>
      <c r="B227" s="29"/>
      <c r="C227" s="29"/>
      <c r="D227" s="29" t="s">
        <v>1072</v>
      </c>
      <c r="E227" s="29"/>
      <c r="F227" s="127">
        <v>3</v>
      </c>
      <c r="G227" s="304"/>
      <c r="H227" s="124"/>
      <c r="I227" s="126"/>
      <c r="J227" s="146"/>
    </row>
    <row r="228" spans="1:10" s="123" customFormat="1" x14ac:dyDescent="0.3">
      <c r="A228" s="192"/>
      <c r="B228" s="29"/>
      <c r="C228" s="29"/>
      <c r="D228" s="29" t="s">
        <v>95</v>
      </c>
      <c r="E228" s="29"/>
      <c r="F228" s="127"/>
      <c r="G228" s="304"/>
      <c r="H228" s="124"/>
      <c r="I228" s="126"/>
      <c r="J228" s="146"/>
    </row>
    <row r="229" spans="1:10" s="123" customFormat="1" ht="13.8" x14ac:dyDescent="0.25">
      <c r="A229" s="188">
        <v>112</v>
      </c>
      <c r="B229" s="26">
        <v>764</v>
      </c>
      <c r="C229" s="26" t="s">
        <v>96</v>
      </c>
      <c r="D229" s="26" t="s">
        <v>1073</v>
      </c>
      <c r="E229" s="26" t="s">
        <v>26</v>
      </c>
      <c r="F229" s="27">
        <f>F230</f>
        <v>3</v>
      </c>
      <c r="G229" s="299"/>
      <c r="H229" s="28">
        <f>F229*G229</f>
        <v>0</v>
      </c>
      <c r="J229" s="125"/>
    </row>
    <row r="230" spans="1:10" s="123" customFormat="1" ht="21.6" x14ac:dyDescent="0.3">
      <c r="A230" s="192"/>
      <c r="B230" s="29"/>
      <c r="C230" s="29"/>
      <c r="D230" s="29" t="s">
        <v>1072</v>
      </c>
      <c r="E230" s="29"/>
      <c r="F230" s="127">
        <v>3</v>
      </c>
      <c r="G230" s="304"/>
      <c r="H230" s="124"/>
      <c r="I230" s="126"/>
      <c r="J230" s="146"/>
    </row>
    <row r="231" spans="1:10" s="123" customFormat="1" x14ac:dyDescent="0.3">
      <c r="A231" s="192"/>
      <c r="B231" s="29"/>
      <c r="C231" s="29"/>
      <c r="D231" s="29" t="s">
        <v>95</v>
      </c>
      <c r="E231" s="29"/>
      <c r="F231" s="127"/>
      <c r="G231" s="304"/>
      <c r="H231" s="124"/>
      <c r="I231" s="126"/>
      <c r="J231" s="146"/>
    </row>
    <row r="232" spans="1:10" s="123" customFormat="1" ht="13.8" x14ac:dyDescent="0.25">
      <c r="A232" s="188">
        <v>113</v>
      </c>
      <c r="B232" s="26">
        <v>998</v>
      </c>
      <c r="C232" s="26">
        <v>998764201</v>
      </c>
      <c r="D232" s="26" t="s">
        <v>241</v>
      </c>
      <c r="E232" s="26" t="s">
        <v>21</v>
      </c>
      <c r="F232" s="27">
        <v>1.52</v>
      </c>
      <c r="G232" s="299"/>
      <c r="H232" s="28">
        <f>F232*G232</f>
        <v>0</v>
      </c>
      <c r="J232" s="125"/>
    </row>
    <row r="233" spans="1:10" s="123" customFormat="1" ht="13.8" x14ac:dyDescent="0.25">
      <c r="A233" s="188">
        <v>114</v>
      </c>
      <c r="B233" s="26">
        <v>999</v>
      </c>
      <c r="C233" s="26" t="s">
        <v>83</v>
      </c>
      <c r="D233" s="26" t="s">
        <v>84</v>
      </c>
      <c r="E233" s="26" t="s">
        <v>46</v>
      </c>
      <c r="F233" s="27">
        <v>1</v>
      </c>
      <c r="G233" s="299"/>
      <c r="H233" s="28">
        <f>F233*G233</f>
        <v>0</v>
      </c>
      <c r="J233" s="125"/>
    </row>
    <row r="234" spans="1:10" s="123" customFormat="1" x14ac:dyDescent="0.3">
      <c r="A234" s="192"/>
      <c r="B234" s="29"/>
      <c r="C234" s="29"/>
      <c r="D234" s="29" t="s">
        <v>80</v>
      </c>
      <c r="E234" s="29"/>
      <c r="F234" s="127">
        <v>1</v>
      </c>
      <c r="G234" s="304"/>
      <c r="H234" s="124"/>
      <c r="I234" s="126"/>
      <c r="J234" s="146"/>
    </row>
    <row r="235" spans="1:10" x14ac:dyDescent="0.3">
      <c r="A235" s="189"/>
      <c r="B235" s="15"/>
      <c r="C235" s="15">
        <v>766</v>
      </c>
      <c r="D235" s="15" t="s">
        <v>66</v>
      </c>
      <c r="E235" s="15"/>
      <c r="F235" s="16"/>
      <c r="G235" s="298"/>
      <c r="H235" s="17">
        <f>SUM(H236:H306)</f>
        <v>0</v>
      </c>
    </row>
    <row r="236" spans="1:10" s="123" customFormat="1" ht="13.8" x14ac:dyDescent="0.25">
      <c r="A236" s="188">
        <v>115</v>
      </c>
      <c r="B236" s="26">
        <v>766</v>
      </c>
      <c r="C236" s="26">
        <v>766411812</v>
      </c>
      <c r="D236" s="26" t="s">
        <v>1113</v>
      </c>
      <c r="E236" s="26" t="s">
        <v>18</v>
      </c>
      <c r="F236" s="27">
        <f>F237</f>
        <v>19.5</v>
      </c>
      <c r="G236" s="299"/>
      <c r="H236" s="28">
        <f>F236*G236</f>
        <v>0</v>
      </c>
      <c r="J236" s="125"/>
    </row>
    <row r="237" spans="1:10" s="123" customFormat="1" x14ac:dyDescent="0.3">
      <c r="A237" s="192"/>
      <c r="B237" s="29"/>
      <c r="C237" s="29"/>
      <c r="D237" s="29" t="s">
        <v>1114</v>
      </c>
      <c r="E237" s="29"/>
      <c r="F237" s="127">
        <f>1.5*(7+6)</f>
        <v>19.5</v>
      </c>
      <c r="G237" s="304"/>
      <c r="H237" s="124"/>
      <c r="I237" s="126"/>
      <c r="J237" s="146"/>
    </row>
    <row r="238" spans="1:10" s="123" customFormat="1" ht="13.8" x14ac:dyDescent="0.25">
      <c r="A238" s="188">
        <v>116</v>
      </c>
      <c r="B238" s="26">
        <v>766</v>
      </c>
      <c r="C238" s="26" t="s">
        <v>67</v>
      </c>
      <c r="D238" s="26" t="s">
        <v>185</v>
      </c>
      <c r="E238" s="26" t="s">
        <v>26</v>
      </c>
      <c r="F238" s="27">
        <f>F239</f>
        <v>3</v>
      </c>
      <c r="G238" s="299"/>
      <c r="H238" s="28">
        <f>F238*G238</f>
        <v>0</v>
      </c>
      <c r="J238" s="125"/>
    </row>
    <row r="239" spans="1:10" s="123" customFormat="1" ht="21.6" x14ac:dyDescent="0.3">
      <c r="A239" s="192"/>
      <c r="B239" s="29"/>
      <c r="C239" s="29"/>
      <c r="D239" s="29" t="s">
        <v>1028</v>
      </c>
      <c r="E239" s="29"/>
      <c r="F239" s="127">
        <v>3</v>
      </c>
      <c r="G239" s="304"/>
      <c r="H239" s="124"/>
      <c r="I239" s="126"/>
      <c r="J239" s="146"/>
    </row>
    <row r="240" spans="1:10" s="123" customFormat="1" x14ac:dyDescent="0.3">
      <c r="A240" s="192"/>
      <c r="B240" s="29"/>
      <c r="C240" s="29"/>
      <c r="D240" s="29" t="s">
        <v>95</v>
      </c>
      <c r="E240" s="29"/>
      <c r="F240" s="127"/>
      <c r="G240" s="304"/>
      <c r="H240" s="124"/>
      <c r="I240" s="126"/>
      <c r="J240" s="146"/>
    </row>
    <row r="241" spans="1:10" s="123" customFormat="1" ht="13.8" x14ac:dyDescent="0.25">
      <c r="A241" s="188">
        <v>117</v>
      </c>
      <c r="B241" s="26">
        <v>766</v>
      </c>
      <c r="C241" s="26" t="s">
        <v>68</v>
      </c>
      <c r="D241" s="26" t="s">
        <v>1029</v>
      </c>
      <c r="E241" s="26" t="s">
        <v>26</v>
      </c>
      <c r="F241" s="27">
        <f>F242</f>
        <v>1</v>
      </c>
      <c r="G241" s="299"/>
      <c r="H241" s="28">
        <f>F241*G241</f>
        <v>0</v>
      </c>
      <c r="J241" s="125"/>
    </row>
    <row r="242" spans="1:10" s="123" customFormat="1" ht="21.6" x14ac:dyDescent="0.3">
      <c r="A242" s="192"/>
      <c r="B242" s="29"/>
      <c r="C242" s="29"/>
      <c r="D242" s="29" t="s">
        <v>1030</v>
      </c>
      <c r="E242" s="29"/>
      <c r="F242" s="127">
        <v>1</v>
      </c>
      <c r="G242" s="304"/>
      <c r="H242" s="124"/>
      <c r="I242" s="126"/>
      <c r="J242" s="146"/>
    </row>
    <row r="243" spans="1:10" s="123" customFormat="1" x14ac:dyDescent="0.3">
      <c r="A243" s="192"/>
      <c r="B243" s="29"/>
      <c r="C243" s="29"/>
      <c r="D243" s="29" t="s">
        <v>95</v>
      </c>
      <c r="E243" s="29"/>
      <c r="F243" s="127"/>
      <c r="G243" s="304"/>
      <c r="H243" s="124"/>
      <c r="I243" s="126"/>
      <c r="J243" s="146"/>
    </row>
    <row r="244" spans="1:10" s="123" customFormat="1" ht="13.8" x14ac:dyDescent="0.25">
      <c r="A244" s="188">
        <v>118</v>
      </c>
      <c r="B244" s="26">
        <v>766</v>
      </c>
      <c r="C244" s="26" t="s">
        <v>69</v>
      </c>
      <c r="D244" s="26" t="s">
        <v>1031</v>
      </c>
      <c r="E244" s="26" t="s">
        <v>26</v>
      </c>
      <c r="F244" s="27">
        <f>F245</f>
        <v>1</v>
      </c>
      <c r="G244" s="299"/>
      <c r="H244" s="28">
        <f>F244*G244</f>
        <v>0</v>
      </c>
      <c r="J244" s="125"/>
    </row>
    <row r="245" spans="1:10" s="123" customFormat="1" ht="42" x14ac:dyDescent="0.3">
      <c r="A245" s="192"/>
      <c r="B245" s="29"/>
      <c r="C245" s="29"/>
      <c r="D245" s="29" t="s">
        <v>1032</v>
      </c>
      <c r="E245" s="29"/>
      <c r="F245" s="127">
        <v>1</v>
      </c>
      <c r="G245" s="304"/>
      <c r="H245" s="124"/>
      <c r="I245" s="126"/>
      <c r="J245" s="146"/>
    </row>
    <row r="246" spans="1:10" s="123" customFormat="1" x14ac:dyDescent="0.3">
      <c r="A246" s="192"/>
      <c r="B246" s="29"/>
      <c r="C246" s="29"/>
      <c r="D246" s="29" t="s">
        <v>95</v>
      </c>
      <c r="E246" s="29"/>
      <c r="F246" s="127"/>
      <c r="G246" s="304"/>
      <c r="H246" s="124"/>
      <c r="I246" s="126"/>
      <c r="J246" s="146"/>
    </row>
    <row r="247" spans="1:10" s="123" customFormat="1" ht="13.8" x14ac:dyDescent="0.25">
      <c r="A247" s="188">
        <v>119</v>
      </c>
      <c r="B247" s="26">
        <v>766</v>
      </c>
      <c r="C247" s="26" t="s">
        <v>70</v>
      </c>
      <c r="D247" s="26" t="s">
        <v>1033</v>
      </c>
      <c r="E247" s="26" t="s">
        <v>26</v>
      </c>
      <c r="F247" s="27">
        <f>F248</f>
        <v>1</v>
      </c>
      <c r="G247" s="299"/>
      <c r="H247" s="28">
        <f>F247*G247</f>
        <v>0</v>
      </c>
      <c r="J247" s="125"/>
    </row>
    <row r="248" spans="1:10" s="123" customFormat="1" ht="42" x14ac:dyDescent="0.3">
      <c r="A248" s="192"/>
      <c r="B248" s="29"/>
      <c r="C248" s="29"/>
      <c r="D248" s="29" t="s">
        <v>1032</v>
      </c>
      <c r="E248" s="29"/>
      <c r="F248" s="127">
        <v>1</v>
      </c>
      <c r="G248" s="304"/>
      <c r="H248" s="124"/>
      <c r="I248" s="126"/>
      <c r="J248" s="146"/>
    </row>
    <row r="249" spans="1:10" s="123" customFormat="1" x14ac:dyDescent="0.3">
      <c r="A249" s="192"/>
      <c r="B249" s="29"/>
      <c r="C249" s="29"/>
      <c r="D249" s="29" t="s">
        <v>95</v>
      </c>
      <c r="E249" s="29"/>
      <c r="F249" s="127"/>
      <c r="G249" s="304"/>
      <c r="H249" s="124"/>
      <c r="I249" s="126"/>
      <c r="J249" s="146"/>
    </row>
    <row r="250" spans="1:10" s="123" customFormat="1" ht="13.8" x14ac:dyDescent="0.25">
      <c r="A250" s="188">
        <v>120</v>
      </c>
      <c r="B250" s="26">
        <v>766</v>
      </c>
      <c r="C250" s="26" t="s">
        <v>89</v>
      </c>
      <c r="D250" s="26" t="s">
        <v>1034</v>
      </c>
      <c r="E250" s="26" t="s">
        <v>26</v>
      </c>
      <c r="F250" s="27">
        <f>F251</f>
        <v>1</v>
      </c>
      <c r="G250" s="299"/>
      <c r="H250" s="28">
        <f>F250*G250</f>
        <v>0</v>
      </c>
      <c r="J250" s="125"/>
    </row>
    <row r="251" spans="1:10" s="123" customFormat="1" ht="42" x14ac:dyDescent="0.3">
      <c r="A251" s="192"/>
      <c r="B251" s="29"/>
      <c r="C251" s="29"/>
      <c r="D251" s="29" t="s">
        <v>1032</v>
      </c>
      <c r="E251" s="29"/>
      <c r="F251" s="127">
        <v>1</v>
      </c>
      <c r="G251" s="304"/>
      <c r="H251" s="124"/>
      <c r="I251" s="126"/>
      <c r="J251" s="146"/>
    </row>
    <row r="252" spans="1:10" s="123" customFormat="1" x14ac:dyDescent="0.3">
      <c r="A252" s="192"/>
      <c r="B252" s="29"/>
      <c r="C252" s="29"/>
      <c r="D252" s="29" t="s">
        <v>95</v>
      </c>
      <c r="E252" s="29"/>
      <c r="F252" s="127"/>
      <c r="G252" s="304"/>
      <c r="H252" s="124"/>
      <c r="I252" s="126"/>
      <c r="J252" s="146"/>
    </row>
    <row r="253" spans="1:10" s="123" customFormat="1" ht="13.8" x14ac:dyDescent="0.25">
      <c r="A253" s="188">
        <v>121</v>
      </c>
      <c r="B253" s="26">
        <v>766</v>
      </c>
      <c r="C253" s="26" t="s">
        <v>71</v>
      </c>
      <c r="D253" s="26" t="s">
        <v>1035</v>
      </c>
      <c r="E253" s="26" t="s">
        <v>26</v>
      </c>
      <c r="F253" s="27">
        <f>F254</f>
        <v>1</v>
      </c>
      <c r="G253" s="299"/>
      <c r="H253" s="28">
        <f>F253*G253</f>
        <v>0</v>
      </c>
      <c r="J253" s="125"/>
    </row>
    <row r="254" spans="1:10" s="123" customFormat="1" ht="31.8" x14ac:dyDescent="0.3">
      <c r="A254" s="192"/>
      <c r="B254" s="29"/>
      <c r="C254" s="29"/>
      <c r="D254" s="29" t="s">
        <v>1036</v>
      </c>
      <c r="E254" s="29"/>
      <c r="F254" s="127">
        <v>1</v>
      </c>
      <c r="G254" s="304"/>
      <c r="H254" s="124"/>
      <c r="I254" s="126"/>
      <c r="J254" s="146"/>
    </row>
    <row r="255" spans="1:10" s="123" customFormat="1" x14ac:dyDescent="0.3">
      <c r="A255" s="192"/>
      <c r="B255" s="29"/>
      <c r="C255" s="29"/>
      <c r="D255" s="29" t="s">
        <v>95</v>
      </c>
      <c r="E255" s="29"/>
      <c r="F255" s="127"/>
      <c r="G255" s="304"/>
      <c r="H255" s="124"/>
      <c r="I255" s="126"/>
      <c r="J255" s="146"/>
    </row>
    <row r="256" spans="1:10" s="123" customFormat="1" ht="13.8" x14ac:dyDescent="0.25">
      <c r="A256" s="188">
        <v>122</v>
      </c>
      <c r="B256" s="26">
        <v>766</v>
      </c>
      <c r="C256" s="26" t="s">
        <v>72</v>
      </c>
      <c r="D256" s="26" t="s">
        <v>1037</v>
      </c>
      <c r="E256" s="26" t="s">
        <v>26</v>
      </c>
      <c r="F256" s="27">
        <f>F257</f>
        <v>1</v>
      </c>
      <c r="G256" s="299"/>
      <c r="H256" s="28">
        <f>F256*G256</f>
        <v>0</v>
      </c>
      <c r="J256" s="125"/>
    </row>
    <row r="257" spans="1:10" s="123" customFormat="1" x14ac:dyDescent="0.3">
      <c r="A257" s="192"/>
      <c r="B257" s="29"/>
      <c r="C257" s="29"/>
      <c r="D257" s="29" t="s">
        <v>1038</v>
      </c>
      <c r="E257" s="29"/>
      <c r="F257" s="127">
        <v>1</v>
      </c>
      <c r="G257" s="304"/>
      <c r="H257" s="124"/>
      <c r="I257" s="126"/>
      <c r="J257" s="146"/>
    </row>
    <row r="258" spans="1:10" s="123" customFormat="1" x14ac:dyDescent="0.3">
      <c r="A258" s="192"/>
      <c r="B258" s="29"/>
      <c r="C258" s="29"/>
      <c r="D258" s="29" t="s">
        <v>95</v>
      </c>
      <c r="E258" s="29"/>
      <c r="F258" s="127"/>
      <c r="G258" s="304"/>
      <c r="H258" s="124"/>
      <c r="I258" s="126"/>
      <c r="J258" s="146"/>
    </row>
    <row r="259" spans="1:10" s="123" customFormat="1" ht="13.8" x14ac:dyDescent="0.25">
      <c r="A259" s="188">
        <v>123</v>
      </c>
      <c r="B259" s="26">
        <v>766</v>
      </c>
      <c r="C259" s="26" t="s">
        <v>186</v>
      </c>
      <c r="D259" s="26" t="s">
        <v>1043</v>
      </c>
      <c r="E259" s="26" t="s">
        <v>26</v>
      </c>
      <c r="F259" s="27">
        <f>F260</f>
        <v>3</v>
      </c>
      <c r="G259" s="299"/>
      <c r="H259" s="28">
        <f>F259*G259</f>
        <v>0</v>
      </c>
      <c r="J259" s="125"/>
    </row>
    <row r="260" spans="1:10" s="123" customFormat="1" ht="50.1" customHeight="1" x14ac:dyDescent="0.3">
      <c r="A260" s="192"/>
      <c r="B260" s="29"/>
      <c r="C260" s="29"/>
      <c r="D260" s="29" t="s">
        <v>1048</v>
      </c>
      <c r="E260" s="29"/>
      <c r="F260" s="127">
        <v>3</v>
      </c>
      <c r="G260" s="304"/>
      <c r="H260" s="124"/>
      <c r="I260" s="126"/>
      <c r="J260" s="146"/>
    </row>
    <row r="261" spans="1:10" s="123" customFormat="1" ht="21.6" x14ac:dyDescent="0.3">
      <c r="A261" s="192"/>
      <c r="B261" s="29"/>
      <c r="C261" s="29"/>
      <c r="D261" s="29" t="s">
        <v>187</v>
      </c>
      <c r="E261" s="29"/>
      <c r="F261" s="127"/>
      <c r="G261" s="304"/>
      <c r="H261" s="124"/>
      <c r="I261" s="126"/>
      <c r="J261" s="146"/>
    </row>
    <row r="262" spans="1:10" s="123" customFormat="1" ht="13.8" x14ac:dyDescent="0.25">
      <c r="A262" s="188">
        <v>124</v>
      </c>
      <c r="B262" s="26">
        <v>766</v>
      </c>
      <c r="C262" s="26" t="s">
        <v>188</v>
      </c>
      <c r="D262" s="26" t="s">
        <v>1042</v>
      </c>
      <c r="E262" s="26" t="s">
        <v>26</v>
      </c>
      <c r="F262" s="27">
        <f>F263</f>
        <v>1</v>
      </c>
      <c r="G262" s="299"/>
      <c r="H262" s="28">
        <f>F262*G262</f>
        <v>0</v>
      </c>
      <c r="J262" s="125"/>
    </row>
    <row r="263" spans="1:10" s="123" customFormat="1" ht="31.8" x14ac:dyDescent="0.3">
      <c r="A263" s="192"/>
      <c r="B263" s="29"/>
      <c r="C263" s="29"/>
      <c r="D263" s="29" t="s">
        <v>1039</v>
      </c>
      <c r="E263" s="29"/>
      <c r="F263" s="127">
        <v>1</v>
      </c>
      <c r="G263" s="304"/>
      <c r="H263" s="124"/>
      <c r="I263" s="126"/>
      <c r="J263" s="146"/>
    </row>
    <row r="264" spans="1:10" s="123" customFormat="1" ht="21.6" x14ac:dyDescent="0.3">
      <c r="A264" s="192"/>
      <c r="B264" s="29"/>
      <c r="C264" s="29"/>
      <c r="D264" s="29" t="s">
        <v>187</v>
      </c>
      <c r="E264" s="29"/>
      <c r="F264" s="127"/>
      <c r="G264" s="304"/>
      <c r="H264" s="124"/>
      <c r="I264" s="126"/>
      <c r="J264" s="146"/>
    </row>
    <row r="265" spans="1:10" s="123" customFormat="1" ht="13.8" x14ac:dyDescent="0.25">
      <c r="A265" s="188">
        <v>125</v>
      </c>
      <c r="B265" s="26">
        <v>766</v>
      </c>
      <c r="C265" s="26" t="s">
        <v>189</v>
      </c>
      <c r="D265" s="26" t="s">
        <v>1041</v>
      </c>
      <c r="E265" s="26" t="s">
        <v>26</v>
      </c>
      <c r="F265" s="27">
        <f>F266</f>
        <v>1</v>
      </c>
      <c r="G265" s="299"/>
      <c r="H265" s="28">
        <f>F265*G265</f>
        <v>0</v>
      </c>
      <c r="J265" s="125"/>
    </row>
    <row r="266" spans="1:10" s="123" customFormat="1" ht="31.8" x14ac:dyDescent="0.3">
      <c r="A266" s="192"/>
      <c r="B266" s="29"/>
      <c r="C266" s="29"/>
      <c r="D266" s="29" t="s">
        <v>1040</v>
      </c>
      <c r="E266" s="29"/>
      <c r="F266" s="127">
        <v>1</v>
      </c>
      <c r="G266" s="304"/>
      <c r="H266" s="124"/>
      <c r="I266" s="126"/>
      <c r="J266" s="146"/>
    </row>
    <row r="267" spans="1:10" s="123" customFormat="1" ht="21.6" x14ac:dyDescent="0.3">
      <c r="A267" s="192"/>
      <c r="B267" s="29"/>
      <c r="C267" s="29"/>
      <c r="D267" s="29" t="s">
        <v>187</v>
      </c>
      <c r="E267" s="29"/>
      <c r="F267" s="127"/>
      <c r="G267" s="304"/>
      <c r="H267" s="124"/>
      <c r="I267" s="126"/>
      <c r="J267" s="146"/>
    </row>
    <row r="268" spans="1:10" s="123" customFormat="1" ht="21" x14ac:dyDescent="0.25">
      <c r="A268" s="188">
        <v>126</v>
      </c>
      <c r="B268" s="26">
        <v>766</v>
      </c>
      <c r="C268" s="26" t="s">
        <v>190</v>
      </c>
      <c r="D268" s="26" t="s">
        <v>1044</v>
      </c>
      <c r="E268" s="26" t="s">
        <v>26</v>
      </c>
      <c r="F268" s="27">
        <f>F269</f>
        <v>1</v>
      </c>
      <c r="G268" s="299"/>
      <c r="H268" s="28">
        <f>F268*G268</f>
        <v>0</v>
      </c>
      <c r="J268" s="125"/>
    </row>
    <row r="269" spans="1:10" s="123" customFormat="1" ht="86.1" customHeight="1" x14ac:dyDescent="0.3">
      <c r="A269" s="192"/>
      <c r="B269" s="29"/>
      <c r="C269" s="29"/>
      <c r="D269" s="29" t="s">
        <v>1045</v>
      </c>
      <c r="E269" s="29"/>
      <c r="F269" s="127">
        <v>1</v>
      </c>
      <c r="G269" s="304"/>
      <c r="H269" s="124"/>
      <c r="I269" s="126"/>
      <c r="J269" s="146"/>
    </row>
    <row r="270" spans="1:10" s="123" customFormat="1" ht="21.6" x14ac:dyDescent="0.3">
      <c r="A270" s="192"/>
      <c r="B270" s="29"/>
      <c r="C270" s="29"/>
      <c r="D270" s="29" t="s">
        <v>187</v>
      </c>
      <c r="E270" s="29"/>
      <c r="F270" s="127"/>
      <c r="G270" s="304"/>
      <c r="H270" s="124"/>
      <c r="I270" s="126"/>
      <c r="J270" s="146"/>
    </row>
    <row r="271" spans="1:10" s="123" customFormat="1" ht="13.8" x14ac:dyDescent="0.25">
      <c r="A271" s="188">
        <v>127</v>
      </c>
      <c r="B271" s="26">
        <v>766</v>
      </c>
      <c r="C271" s="26" t="s">
        <v>191</v>
      </c>
      <c r="D271" s="26" t="s">
        <v>1046</v>
      </c>
      <c r="E271" s="26" t="s">
        <v>26</v>
      </c>
      <c r="F271" s="27">
        <f>F272</f>
        <v>1</v>
      </c>
      <c r="G271" s="299"/>
      <c r="H271" s="28">
        <f>F271*G271</f>
        <v>0</v>
      </c>
      <c r="J271" s="125"/>
    </row>
    <row r="272" spans="1:10" s="123" customFormat="1" ht="50.1" customHeight="1" x14ac:dyDescent="0.3">
      <c r="A272" s="192"/>
      <c r="B272" s="29"/>
      <c r="C272" s="29"/>
      <c r="D272" s="29" t="s">
        <v>1047</v>
      </c>
      <c r="E272" s="29"/>
      <c r="F272" s="127">
        <v>1</v>
      </c>
      <c r="G272" s="304"/>
      <c r="H272" s="124"/>
      <c r="I272" s="126"/>
      <c r="J272" s="146"/>
    </row>
    <row r="273" spans="1:10" s="123" customFormat="1" ht="21.6" x14ac:dyDescent="0.3">
      <c r="A273" s="192"/>
      <c r="B273" s="29"/>
      <c r="C273" s="29"/>
      <c r="D273" s="29" t="s">
        <v>187</v>
      </c>
      <c r="E273" s="29"/>
      <c r="F273" s="127"/>
      <c r="G273" s="304"/>
      <c r="H273" s="124"/>
      <c r="I273" s="126"/>
      <c r="J273" s="146"/>
    </row>
    <row r="274" spans="1:10" s="123" customFormat="1" ht="14.1" customHeight="1" x14ac:dyDescent="0.25">
      <c r="A274" s="188">
        <v>128</v>
      </c>
      <c r="B274" s="26">
        <v>766</v>
      </c>
      <c r="C274" s="26" t="s">
        <v>192</v>
      </c>
      <c r="D274" s="26" t="s">
        <v>1049</v>
      </c>
      <c r="E274" s="26" t="s">
        <v>26</v>
      </c>
      <c r="F274" s="27">
        <f>F275</f>
        <v>1</v>
      </c>
      <c r="G274" s="299"/>
      <c r="H274" s="28">
        <f>F274*G274</f>
        <v>0</v>
      </c>
      <c r="J274" s="125"/>
    </row>
    <row r="275" spans="1:10" s="123" customFormat="1" ht="84" customHeight="1" x14ac:dyDescent="0.3">
      <c r="A275" s="192"/>
      <c r="B275" s="29"/>
      <c r="C275" s="29"/>
      <c r="D275" s="29" t="s">
        <v>1069</v>
      </c>
      <c r="E275" s="29"/>
      <c r="F275" s="127">
        <v>1</v>
      </c>
      <c r="G275" s="304"/>
      <c r="H275" s="124"/>
      <c r="I275" s="126"/>
      <c r="J275" s="146"/>
    </row>
    <row r="276" spans="1:10" s="123" customFormat="1" ht="21.6" x14ac:dyDescent="0.3">
      <c r="A276" s="192"/>
      <c r="B276" s="29"/>
      <c r="C276" s="29"/>
      <c r="D276" s="29" t="s">
        <v>187</v>
      </c>
      <c r="E276" s="29"/>
      <c r="F276" s="127"/>
      <c r="G276" s="304"/>
      <c r="H276" s="124"/>
      <c r="I276" s="126"/>
      <c r="J276" s="146"/>
    </row>
    <row r="277" spans="1:10" s="123" customFormat="1" ht="14.1" customHeight="1" x14ac:dyDescent="0.25">
      <c r="A277" s="188">
        <v>129</v>
      </c>
      <c r="B277" s="26">
        <v>766</v>
      </c>
      <c r="C277" s="26" t="s">
        <v>193</v>
      </c>
      <c r="D277" s="26" t="s">
        <v>1053</v>
      </c>
      <c r="E277" s="26" t="s">
        <v>26</v>
      </c>
      <c r="F277" s="27">
        <f>F278</f>
        <v>1</v>
      </c>
      <c r="G277" s="299"/>
      <c r="H277" s="28">
        <f>F277*G277</f>
        <v>0</v>
      </c>
      <c r="J277" s="125"/>
    </row>
    <row r="278" spans="1:10" s="123" customFormat="1" ht="72" customHeight="1" x14ac:dyDescent="0.3">
      <c r="A278" s="192"/>
      <c r="B278" s="29"/>
      <c r="C278" s="29"/>
      <c r="D278" s="29" t="s">
        <v>1068</v>
      </c>
      <c r="E278" s="29"/>
      <c r="F278" s="127">
        <v>1</v>
      </c>
      <c r="G278" s="304"/>
      <c r="H278" s="124"/>
      <c r="I278" s="126"/>
      <c r="J278" s="146"/>
    </row>
    <row r="279" spans="1:10" s="123" customFormat="1" ht="21.6" x14ac:dyDescent="0.3">
      <c r="A279" s="192"/>
      <c r="B279" s="29"/>
      <c r="C279" s="29"/>
      <c r="D279" s="29" t="s">
        <v>187</v>
      </c>
      <c r="E279" s="29"/>
      <c r="F279" s="127"/>
      <c r="G279" s="304"/>
      <c r="H279" s="124"/>
      <c r="I279" s="126"/>
      <c r="J279" s="146"/>
    </row>
    <row r="280" spans="1:10" s="123" customFormat="1" ht="14.1" customHeight="1" x14ac:dyDescent="0.25">
      <c r="A280" s="188">
        <v>130</v>
      </c>
      <c r="B280" s="26">
        <v>766</v>
      </c>
      <c r="C280" s="26" t="s">
        <v>1055</v>
      </c>
      <c r="D280" s="26" t="s">
        <v>1052</v>
      </c>
      <c r="E280" s="26" t="s">
        <v>26</v>
      </c>
      <c r="F280" s="27">
        <f>F281</f>
        <v>1</v>
      </c>
      <c r="G280" s="299"/>
      <c r="H280" s="28">
        <f>F280*G280</f>
        <v>0</v>
      </c>
      <c r="J280" s="125"/>
    </row>
    <row r="281" spans="1:10" s="123" customFormat="1" ht="72" customHeight="1" x14ac:dyDescent="0.3">
      <c r="A281" s="192"/>
      <c r="B281" s="29"/>
      <c r="C281" s="29"/>
      <c r="D281" s="29" t="s">
        <v>1068</v>
      </c>
      <c r="E281" s="29"/>
      <c r="F281" s="127">
        <v>1</v>
      </c>
      <c r="G281" s="304"/>
      <c r="H281" s="124"/>
      <c r="I281" s="126"/>
      <c r="J281" s="146"/>
    </row>
    <row r="282" spans="1:10" s="123" customFormat="1" ht="21.6" x14ac:dyDescent="0.3">
      <c r="A282" s="192"/>
      <c r="B282" s="29"/>
      <c r="C282" s="29"/>
      <c r="D282" s="29" t="s">
        <v>187</v>
      </c>
      <c r="E282" s="29"/>
      <c r="F282" s="127"/>
      <c r="G282" s="304"/>
      <c r="H282" s="124"/>
      <c r="I282" s="126"/>
      <c r="J282" s="146"/>
    </row>
    <row r="283" spans="1:10" s="123" customFormat="1" ht="14.1" customHeight="1" x14ac:dyDescent="0.25">
      <c r="A283" s="188">
        <v>131</v>
      </c>
      <c r="B283" s="26">
        <v>766</v>
      </c>
      <c r="C283" s="26" t="s">
        <v>1054</v>
      </c>
      <c r="D283" s="26" t="s">
        <v>1051</v>
      </c>
      <c r="E283" s="26" t="s">
        <v>26</v>
      </c>
      <c r="F283" s="27">
        <f>F284</f>
        <v>1</v>
      </c>
      <c r="G283" s="299"/>
      <c r="H283" s="28">
        <f>F283*G283</f>
        <v>0</v>
      </c>
      <c r="J283" s="125"/>
    </row>
    <row r="284" spans="1:10" s="123" customFormat="1" ht="72" customHeight="1" x14ac:dyDescent="0.3">
      <c r="A284" s="192"/>
      <c r="B284" s="29"/>
      <c r="C284" s="29"/>
      <c r="D284" s="29" t="s">
        <v>1050</v>
      </c>
      <c r="E284" s="29"/>
      <c r="F284" s="127">
        <v>1</v>
      </c>
      <c r="G284" s="304"/>
      <c r="H284" s="124"/>
      <c r="I284" s="126"/>
      <c r="J284" s="146"/>
    </row>
    <row r="285" spans="1:10" s="123" customFormat="1" ht="21.6" x14ac:dyDescent="0.3">
      <c r="A285" s="192"/>
      <c r="B285" s="29"/>
      <c r="C285" s="29"/>
      <c r="D285" s="29" t="s">
        <v>187</v>
      </c>
      <c r="E285" s="29"/>
      <c r="F285" s="127"/>
      <c r="G285" s="304"/>
      <c r="H285" s="124"/>
      <c r="I285" s="126"/>
      <c r="J285" s="146"/>
    </row>
    <row r="286" spans="1:10" s="123" customFormat="1" ht="14.1" customHeight="1" x14ac:dyDescent="0.25">
      <c r="A286" s="188">
        <v>132</v>
      </c>
      <c r="B286" s="26">
        <v>766</v>
      </c>
      <c r="C286" s="26" t="s">
        <v>194</v>
      </c>
      <c r="D286" s="26" t="s">
        <v>1056</v>
      </c>
      <c r="E286" s="26" t="s">
        <v>26</v>
      </c>
      <c r="F286" s="27">
        <f>F287</f>
        <v>3</v>
      </c>
      <c r="G286" s="299"/>
      <c r="H286" s="28">
        <f>F286*G286</f>
        <v>0</v>
      </c>
      <c r="J286" s="125"/>
    </row>
    <row r="287" spans="1:10" s="123" customFormat="1" ht="72" customHeight="1" x14ac:dyDescent="0.3">
      <c r="A287" s="192"/>
      <c r="B287" s="29"/>
      <c r="C287" s="29"/>
      <c r="D287" s="29" t="s">
        <v>1067</v>
      </c>
      <c r="E287" s="29"/>
      <c r="F287" s="127">
        <v>3</v>
      </c>
      <c r="G287" s="304"/>
      <c r="H287" s="124"/>
      <c r="I287" s="126"/>
      <c r="J287" s="146"/>
    </row>
    <row r="288" spans="1:10" s="123" customFormat="1" ht="21.6" x14ac:dyDescent="0.3">
      <c r="A288" s="192"/>
      <c r="B288" s="29"/>
      <c r="C288" s="29"/>
      <c r="D288" s="29" t="s">
        <v>187</v>
      </c>
      <c r="E288" s="29"/>
      <c r="F288" s="127"/>
      <c r="G288" s="304"/>
      <c r="H288" s="124"/>
      <c r="I288" s="126"/>
      <c r="J288" s="146"/>
    </row>
    <row r="289" spans="1:10" s="123" customFormat="1" ht="14.1" customHeight="1" x14ac:dyDescent="0.25">
      <c r="A289" s="188">
        <v>133</v>
      </c>
      <c r="B289" s="26">
        <v>766</v>
      </c>
      <c r="C289" s="26" t="s">
        <v>195</v>
      </c>
      <c r="D289" s="26" t="s">
        <v>1057</v>
      </c>
      <c r="E289" s="26" t="s">
        <v>26</v>
      </c>
      <c r="F289" s="27">
        <f>F290</f>
        <v>4</v>
      </c>
      <c r="G289" s="299"/>
      <c r="H289" s="28">
        <f>F289*G289</f>
        <v>0</v>
      </c>
      <c r="J289" s="125"/>
    </row>
    <row r="290" spans="1:10" s="123" customFormat="1" ht="72" customHeight="1" x14ac:dyDescent="0.3">
      <c r="A290" s="192"/>
      <c r="B290" s="29"/>
      <c r="C290" s="29"/>
      <c r="D290" s="29" t="s">
        <v>1067</v>
      </c>
      <c r="E290" s="29"/>
      <c r="F290" s="127">
        <v>4</v>
      </c>
      <c r="G290" s="304"/>
      <c r="H290" s="124"/>
      <c r="I290" s="126"/>
      <c r="J290" s="146"/>
    </row>
    <row r="291" spans="1:10" s="123" customFormat="1" ht="21.6" x14ac:dyDescent="0.3">
      <c r="A291" s="192"/>
      <c r="B291" s="29"/>
      <c r="C291" s="29"/>
      <c r="D291" s="29" t="s">
        <v>187</v>
      </c>
      <c r="E291" s="29"/>
      <c r="F291" s="127"/>
      <c r="G291" s="304"/>
      <c r="H291" s="124"/>
      <c r="I291" s="126"/>
      <c r="J291" s="146"/>
    </row>
    <row r="292" spans="1:10" s="123" customFormat="1" ht="14.1" customHeight="1" x14ac:dyDescent="0.25">
      <c r="A292" s="188">
        <v>134</v>
      </c>
      <c r="B292" s="26">
        <v>766</v>
      </c>
      <c r="C292" s="26" t="s">
        <v>196</v>
      </c>
      <c r="D292" s="26" t="s">
        <v>1058</v>
      </c>
      <c r="E292" s="26" t="s">
        <v>26</v>
      </c>
      <c r="F292" s="27">
        <f>F293</f>
        <v>1</v>
      </c>
      <c r="G292" s="299"/>
      <c r="H292" s="28">
        <f>F292*G292</f>
        <v>0</v>
      </c>
      <c r="J292" s="125"/>
    </row>
    <row r="293" spans="1:10" s="123" customFormat="1" ht="72" customHeight="1" x14ac:dyDescent="0.3">
      <c r="A293" s="192"/>
      <c r="B293" s="29"/>
      <c r="C293" s="29"/>
      <c r="D293" s="29" t="s">
        <v>1066</v>
      </c>
      <c r="E293" s="29"/>
      <c r="F293" s="127">
        <v>1</v>
      </c>
      <c r="G293" s="304"/>
      <c r="H293" s="124"/>
      <c r="I293" s="126"/>
      <c r="J293" s="146"/>
    </row>
    <row r="294" spans="1:10" s="123" customFormat="1" ht="21.6" x14ac:dyDescent="0.3">
      <c r="A294" s="192"/>
      <c r="B294" s="29"/>
      <c r="C294" s="29"/>
      <c r="D294" s="29" t="s">
        <v>187</v>
      </c>
      <c r="E294" s="29"/>
      <c r="F294" s="127"/>
      <c r="G294" s="304"/>
      <c r="H294" s="124"/>
      <c r="I294" s="126"/>
      <c r="J294" s="146"/>
    </row>
    <row r="295" spans="1:10" s="123" customFormat="1" ht="14.1" customHeight="1" x14ac:dyDescent="0.25">
      <c r="A295" s="188">
        <v>135</v>
      </c>
      <c r="B295" s="26">
        <v>766</v>
      </c>
      <c r="C295" s="26" t="s">
        <v>197</v>
      </c>
      <c r="D295" s="26" t="s">
        <v>1059</v>
      </c>
      <c r="E295" s="26" t="s">
        <v>26</v>
      </c>
      <c r="F295" s="27">
        <f>F296</f>
        <v>2</v>
      </c>
      <c r="G295" s="299"/>
      <c r="H295" s="28">
        <f>F295*G295</f>
        <v>0</v>
      </c>
      <c r="J295" s="125"/>
    </row>
    <row r="296" spans="1:10" s="123" customFormat="1" ht="84" customHeight="1" x14ac:dyDescent="0.3">
      <c r="A296" s="192"/>
      <c r="B296" s="29"/>
      <c r="C296" s="29"/>
      <c r="D296" s="29" t="s">
        <v>1065</v>
      </c>
      <c r="E296" s="29"/>
      <c r="F296" s="127">
        <v>2</v>
      </c>
      <c r="G296" s="304"/>
      <c r="H296" s="124"/>
      <c r="I296" s="126"/>
      <c r="J296" s="146"/>
    </row>
    <row r="297" spans="1:10" s="123" customFormat="1" ht="21.6" x14ac:dyDescent="0.3">
      <c r="A297" s="192"/>
      <c r="B297" s="29"/>
      <c r="C297" s="29"/>
      <c r="D297" s="29" t="s">
        <v>187</v>
      </c>
      <c r="E297" s="29"/>
      <c r="F297" s="127"/>
      <c r="G297" s="304"/>
      <c r="H297" s="124"/>
      <c r="I297" s="126"/>
      <c r="J297" s="146"/>
    </row>
    <row r="298" spans="1:10" s="123" customFormat="1" ht="14.1" customHeight="1" x14ac:dyDescent="0.25">
      <c r="A298" s="188">
        <v>136</v>
      </c>
      <c r="B298" s="26">
        <v>766</v>
      </c>
      <c r="C298" s="26" t="s">
        <v>1060</v>
      </c>
      <c r="D298" s="26" t="s">
        <v>1061</v>
      </c>
      <c r="E298" s="26" t="s">
        <v>26</v>
      </c>
      <c r="F298" s="27">
        <f>F299</f>
        <v>1</v>
      </c>
      <c r="G298" s="299"/>
      <c r="H298" s="28">
        <f>F298*G298</f>
        <v>0</v>
      </c>
      <c r="J298" s="125"/>
    </row>
    <row r="299" spans="1:10" s="123" customFormat="1" ht="15" customHeight="1" x14ac:dyDescent="0.3">
      <c r="A299" s="192"/>
      <c r="B299" s="29"/>
      <c r="C299" s="29"/>
      <c r="D299" s="29" t="s">
        <v>1062</v>
      </c>
      <c r="E299" s="29"/>
      <c r="F299" s="127">
        <v>1</v>
      </c>
      <c r="G299" s="304"/>
      <c r="H299" s="124"/>
      <c r="I299" s="126"/>
      <c r="J299" s="146"/>
    </row>
    <row r="300" spans="1:10" s="123" customFormat="1" ht="21.6" x14ac:dyDescent="0.3">
      <c r="A300" s="192"/>
      <c r="B300" s="29"/>
      <c r="C300" s="29"/>
      <c r="D300" s="29" t="s">
        <v>187</v>
      </c>
      <c r="E300" s="29"/>
      <c r="F300" s="127"/>
      <c r="G300" s="304"/>
      <c r="H300" s="124"/>
      <c r="I300" s="126"/>
      <c r="J300" s="146"/>
    </row>
    <row r="301" spans="1:10" s="123" customFormat="1" ht="14.1" customHeight="1" x14ac:dyDescent="0.25">
      <c r="A301" s="188">
        <v>137</v>
      </c>
      <c r="B301" s="26">
        <v>766</v>
      </c>
      <c r="C301" s="26" t="s">
        <v>197</v>
      </c>
      <c r="D301" s="26" t="s">
        <v>1063</v>
      </c>
      <c r="E301" s="26" t="s">
        <v>26</v>
      </c>
      <c r="F301" s="27">
        <f>F302</f>
        <v>2</v>
      </c>
      <c r="G301" s="299"/>
      <c r="H301" s="28">
        <f>F301*G301</f>
        <v>0</v>
      </c>
      <c r="J301" s="125"/>
    </row>
    <row r="302" spans="1:10" s="123" customFormat="1" ht="72" customHeight="1" x14ac:dyDescent="0.3">
      <c r="A302" s="192"/>
      <c r="B302" s="29"/>
      <c r="C302" s="29"/>
      <c r="D302" s="29" t="s">
        <v>1064</v>
      </c>
      <c r="E302" s="29"/>
      <c r="F302" s="127">
        <v>2</v>
      </c>
      <c r="G302" s="304"/>
      <c r="H302" s="124"/>
      <c r="I302" s="126"/>
      <c r="J302" s="146"/>
    </row>
    <row r="303" spans="1:10" s="123" customFormat="1" ht="21.6" x14ac:dyDescent="0.3">
      <c r="A303" s="192"/>
      <c r="B303" s="29"/>
      <c r="C303" s="29"/>
      <c r="D303" s="29" t="s">
        <v>187</v>
      </c>
      <c r="E303" s="29"/>
      <c r="F303" s="127"/>
      <c r="G303" s="304"/>
      <c r="H303" s="124"/>
      <c r="I303" s="126"/>
      <c r="J303" s="146"/>
    </row>
    <row r="304" spans="1:10" s="123" customFormat="1" ht="13.8" x14ac:dyDescent="0.25">
      <c r="A304" s="188">
        <v>138</v>
      </c>
      <c r="B304" s="26">
        <v>998</v>
      </c>
      <c r="C304" s="26">
        <v>998766201</v>
      </c>
      <c r="D304" s="26" t="s">
        <v>240</v>
      </c>
      <c r="E304" s="26" t="s">
        <v>21</v>
      </c>
      <c r="F304" s="27">
        <v>0.74</v>
      </c>
      <c r="G304" s="299"/>
      <c r="H304" s="28">
        <f>F304*G304</f>
        <v>0</v>
      </c>
      <c r="J304" s="125"/>
    </row>
    <row r="305" spans="1:10" s="123" customFormat="1" ht="13.8" x14ac:dyDescent="0.25">
      <c r="A305" s="188">
        <v>139</v>
      </c>
      <c r="B305" s="26">
        <v>999</v>
      </c>
      <c r="C305" s="26" t="s">
        <v>85</v>
      </c>
      <c r="D305" s="26" t="s">
        <v>86</v>
      </c>
      <c r="E305" s="26" t="s">
        <v>46</v>
      </c>
      <c r="F305" s="27">
        <v>1</v>
      </c>
      <c r="G305" s="299"/>
      <c r="H305" s="28">
        <f>F305*G305</f>
        <v>0</v>
      </c>
      <c r="J305" s="125"/>
    </row>
    <row r="306" spans="1:10" s="123" customFormat="1" ht="13.8" x14ac:dyDescent="0.25">
      <c r="A306" s="188"/>
      <c r="B306" s="26"/>
      <c r="C306" s="26"/>
      <c r="D306" s="29" t="s">
        <v>80</v>
      </c>
      <c r="E306" s="26"/>
      <c r="F306" s="30">
        <v>1</v>
      </c>
      <c r="G306" s="299"/>
      <c r="H306" s="28"/>
      <c r="J306" s="125"/>
    </row>
    <row r="307" spans="1:10" x14ac:dyDescent="0.3">
      <c r="A307" s="189"/>
      <c r="B307" s="15"/>
      <c r="C307" s="15">
        <v>767</v>
      </c>
      <c r="D307" s="15" t="s">
        <v>63</v>
      </c>
      <c r="E307" s="15"/>
      <c r="F307" s="16"/>
      <c r="G307" s="298"/>
      <c r="H307" s="17">
        <f>SUM(H308:H312)</f>
        <v>0</v>
      </c>
    </row>
    <row r="308" spans="1:10" s="123" customFormat="1" ht="13.8" x14ac:dyDescent="0.25">
      <c r="A308" s="188">
        <v>140</v>
      </c>
      <c r="B308" s="26">
        <v>767</v>
      </c>
      <c r="C308" s="26">
        <v>767661811</v>
      </c>
      <c r="D308" s="26" t="s">
        <v>177</v>
      </c>
      <c r="E308" s="26" t="s">
        <v>18</v>
      </c>
      <c r="F308" s="27">
        <f>SUM(F309:F309)</f>
        <v>0.64000000000000012</v>
      </c>
      <c r="G308" s="299"/>
      <c r="H308" s="28">
        <f>F308*G308</f>
        <v>0</v>
      </c>
      <c r="J308" s="125"/>
    </row>
    <row r="309" spans="1:10" s="123" customFormat="1" ht="13.8" x14ac:dyDescent="0.25">
      <c r="A309" s="188"/>
      <c r="B309" s="26"/>
      <c r="C309" s="26"/>
      <c r="D309" s="29" t="s">
        <v>1106</v>
      </c>
      <c r="E309" s="26"/>
      <c r="F309" s="30">
        <f>(0.8*0.4)*2</f>
        <v>0.64000000000000012</v>
      </c>
      <c r="G309" s="299"/>
      <c r="H309" s="28"/>
      <c r="J309" s="125"/>
    </row>
    <row r="310" spans="1:10" s="123" customFormat="1" ht="13.8" x14ac:dyDescent="0.25">
      <c r="A310" s="188">
        <v>141</v>
      </c>
      <c r="B310" s="26">
        <v>998</v>
      </c>
      <c r="C310" s="26">
        <v>998767201</v>
      </c>
      <c r="D310" s="26" t="s">
        <v>178</v>
      </c>
      <c r="E310" s="26" t="s">
        <v>21</v>
      </c>
      <c r="F310" s="27">
        <v>1.35</v>
      </c>
      <c r="G310" s="299"/>
      <c r="H310" s="28">
        <f>F310*G310</f>
        <v>0</v>
      </c>
      <c r="J310" s="125"/>
    </row>
    <row r="311" spans="1:10" s="123" customFormat="1" ht="13.8" x14ac:dyDescent="0.25">
      <c r="A311" s="188">
        <v>142</v>
      </c>
      <c r="B311" s="26">
        <v>999</v>
      </c>
      <c r="C311" s="26" t="s">
        <v>87</v>
      </c>
      <c r="D311" s="26" t="s">
        <v>88</v>
      </c>
      <c r="E311" s="26" t="s">
        <v>46</v>
      </c>
      <c r="F311" s="27">
        <v>1</v>
      </c>
      <c r="G311" s="299"/>
      <c r="H311" s="28">
        <f>F311*G311</f>
        <v>0</v>
      </c>
      <c r="J311" s="125"/>
    </row>
    <row r="312" spans="1:10" s="123" customFormat="1" ht="13.8" x14ac:dyDescent="0.25">
      <c r="A312" s="188"/>
      <c r="B312" s="26"/>
      <c r="C312" s="26"/>
      <c r="D312" s="29" t="s">
        <v>80</v>
      </c>
      <c r="E312" s="26"/>
      <c r="F312" s="30">
        <v>1</v>
      </c>
      <c r="G312" s="299"/>
      <c r="H312" s="28"/>
      <c r="J312" s="125"/>
    </row>
    <row r="313" spans="1:10" x14ac:dyDescent="0.3">
      <c r="A313" s="189"/>
      <c r="B313" s="15"/>
      <c r="C313" s="15">
        <v>771</v>
      </c>
      <c r="D313" s="15" t="s">
        <v>120</v>
      </c>
      <c r="E313" s="15"/>
      <c r="F313" s="16"/>
      <c r="G313" s="298"/>
      <c r="H313" s="17">
        <f>SUM(H314:H337)</f>
        <v>0</v>
      </c>
    </row>
    <row r="314" spans="1:10" s="123" customFormat="1" ht="13.8" x14ac:dyDescent="0.25">
      <c r="A314" s="188">
        <v>143</v>
      </c>
      <c r="B314" s="26">
        <v>771</v>
      </c>
      <c r="C314" s="26">
        <v>771121011</v>
      </c>
      <c r="D314" s="26" t="s">
        <v>119</v>
      </c>
      <c r="E314" s="26" t="s">
        <v>18</v>
      </c>
      <c r="F314" s="27">
        <f>F315</f>
        <v>95.9</v>
      </c>
      <c r="G314" s="299"/>
      <c r="H314" s="28">
        <f>F314*G314</f>
        <v>0</v>
      </c>
      <c r="J314" s="125"/>
    </row>
    <row r="315" spans="1:10" s="123" customFormat="1" ht="13.8" x14ac:dyDescent="0.25">
      <c r="A315" s="188"/>
      <c r="B315" s="26"/>
      <c r="C315" s="26"/>
      <c r="D315" s="29" t="s">
        <v>1164</v>
      </c>
      <c r="E315" s="26"/>
      <c r="F315" s="30">
        <v>95.9</v>
      </c>
      <c r="G315" s="299"/>
      <c r="H315" s="28"/>
      <c r="J315" s="125"/>
    </row>
    <row r="316" spans="1:10" s="123" customFormat="1" ht="13.8" x14ac:dyDescent="0.25">
      <c r="A316" s="188">
        <v>144</v>
      </c>
      <c r="B316" s="26">
        <v>771</v>
      </c>
      <c r="C316" s="26">
        <v>771161012</v>
      </c>
      <c r="D316" s="26" t="s">
        <v>1172</v>
      </c>
      <c r="E316" s="26" t="s">
        <v>73</v>
      </c>
      <c r="F316" s="27">
        <f>F317</f>
        <v>133</v>
      </c>
      <c r="G316" s="299"/>
      <c r="H316" s="28">
        <f>F316*G316</f>
        <v>0</v>
      </c>
      <c r="J316" s="125"/>
    </row>
    <row r="317" spans="1:10" s="123" customFormat="1" ht="13.8" x14ac:dyDescent="0.25">
      <c r="A317" s="188"/>
      <c r="B317" s="26"/>
      <c r="C317" s="26"/>
      <c r="D317" s="29" t="s">
        <v>1173</v>
      </c>
      <c r="E317" s="26"/>
      <c r="F317" s="30">
        <f>20+5+5+5.1+10.6+9.8+10.6+7.4+6.4+0.6+5+2.5+6.1+8+2+2.5+2.3+2.3+4+5+4+4+4.8</f>
        <v>133</v>
      </c>
      <c r="G317" s="299"/>
      <c r="H317" s="28"/>
      <c r="J317" s="125"/>
    </row>
    <row r="318" spans="1:10" s="173" customFormat="1" x14ac:dyDescent="0.3">
      <c r="A318" s="190">
        <v>145</v>
      </c>
      <c r="B318" s="170">
        <v>590</v>
      </c>
      <c r="C318" s="170" t="s">
        <v>1174</v>
      </c>
      <c r="D318" s="170" t="s">
        <v>1175</v>
      </c>
      <c r="E318" s="170" t="s">
        <v>73</v>
      </c>
      <c r="F318" s="171">
        <f>1.1*F316</f>
        <v>146.30000000000001</v>
      </c>
      <c r="G318" s="300"/>
      <c r="H318" s="172">
        <f>F318*G318</f>
        <v>0</v>
      </c>
      <c r="J318" s="174"/>
    </row>
    <row r="319" spans="1:10" s="123" customFormat="1" ht="21" x14ac:dyDescent="0.25">
      <c r="A319" s="188">
        <v>146</v>
      </c>
      <c r="B319" s="26">
        <v>771</v>
      </c>
      <c r="C319" s="26">
        <v>771274123</v>
      </c>
      <c r="D319" s="26" t="s">
        <v>1152</v>
      </c>
      <c r="E319" s="26" t="s">
        <v>73</v>
      </c>
      <c r="F319" s="27">
        <f>F320</f>
        <v>3</v>
      </c>
      <c r="G319" s="299"/>
      <c r="H319" s="28">
        <f>F319*G319</f>
        <v>0</v>
      </c>
      <c r="J319" s="125"/>
    </row>
    <row r="320" spans="1:10" s="123" customFormat="1" ht="13.8" x14ac:dyDescent="0.25">
      <c r="A320" s="188"/>
      <c r="B320" s="26"/>
      <c r="C320" s="26"/>
      <c r="D320" s="29" t="s">
        <v>1151</v>
      </c>
      <c r="E320" s="26"/>
      <c r="F320" s="30">
        <f>2*1.5</f>
        <v>3</v>
      </c>
      <c r="G320" s="299"/>
      <c r="H320" s="28"/>
      <c r="J320" s="125"/>
    </row>
    <row r="321" spans="1:10" s="173" customFormat="1" x14ac:dyDescent="0.3">
      <c r="A321" s="190">
        <v>147</v>
      </c>
      <c r="B321" s="170">
        <v>597</v>
      </c>
      <c r="C321" s="170" t="s">
        <v>1154</v>
      </c>
      <c r="D321" s="170" t="s">
        <v>1153</v>
      </c>
      <c r="E321" s="170" t="s">
        <v>73</v>
      </c>
      <c r="F321" s="171">
        <f>1.1*F319</f>
        <v>3.3000000000000003</v>
      </c>
      <c r="G321" s="300"/>
      <c r="H321" s="172">
        <f>F321*G321</f>
        <v>0</v>
      </c>
      <c r="J321" s="174"/>
    </row>
    <row r="322" spans="1:10" s="123" customFormat="1" ht="21" x14ac:dyDescent="0.25">
      <c r="A322" s="188">
        <v>148</v>
      </c>
      <c r="B322" s="26">
        <v>771</v>
      </c>
      <c r="C322" s="26">
        <v>771274242</v>
      </c>
      <c r="D322" s="26" t="s">
        <v>1155</v>
      </c>
      <c r="E322" s="26" t="s">
        <v>73</v>
      </c>
      <c r="F322" s="27">
        <f>F323</f>
        <v>3</v>
      </c>
      <c r="G322" s="299"/>
      <c r="H322" s="28">
        <f>F322*G322</f>
        <v>0</v>
      </c>
      <c r="J322" s="125"/>
    </row>
    <row r="323" spans="1:10" s="123" customFormat="1" ht="13.8" x14ac:dyDescent="0.25">
      <c r="A323" s="188"/>
      <c r="B323" s="26"/>
      <c r="C323" s="26"/>
      <c r="D323" s="29" t="s">
        <v>1151</v>
      </c>
      <c r="E323" s="26"/>
      <c r="F323" s="30">
        <f>2*1.5</f>
        <v>3</v>
      </c>
      <c r="G323" s="299"/>
      <c r="H323" s="28"/>
      <c r="J323" s="125"/>
    </row>
    <row r="324" spans="1:10" s="173" customFormat="1" x14ac:dyDescent="0.3">
      <c r="A324" s="190">
        <v>149</v>
      </c>
      <c r="B324" s="170">
        <v>597</v>
      </c>
      <c r="C324" s="170">
        <v>59761400</v>
      </c>
      <c r="D324" s="170" t="s">
        <v>1156</v>
      </c>
      <c r="E324" s="170" t="s">
        <v>18</v>
      </c>
      <c r="F324" s="171">
        <f>1.1*(F322*0.2)</f>
        <v>0.66000000000000014</v>
      </c>
      <c r="G324" s="300"/>
      <c r="H324" s="172">
        <f>F324*G324</f>
        <v>0</v>
      </c>
      <c r="J324" s="174"/>
    </row>
    <row r="325" spans="1:10" s="123" customFormat="1" ht="13.8" x14ac:dyDescent="0.25">
      <c r="A325" s="188">
        <v>150</v>
      </c>
      <c r="B325" s="26">
        <v>771</v>
      </c>
      <c r="C325" s="26">
        <v>771571810</v>
      </c>
      <c r="D325" s="26" t="s">
        <v>198</v>
      </c>
      <c r="E325" s="26" t="s">
        <v>18</v>
      </c>
      <c r="F325" s="27">
        <f>F326</f>
        <v>189.2</v>
      </c>
      <c r="G325" s="299"/>
      <c r="H325" s="28">
        <f>F325*G325</f>
        <v>0</v>
      </c>
      <c r="J325" s="125"/>
    </row>
    <row r="326" spans="1:10" s="123" customFormat="1" ht="27.9" customHeight="1" x14ac:dyDescent="0.3">
      <c r="A326" s="192"/>
      <c r="B326" s="29"/>
      <c r="C326" s="29"/>
      <c r="D326" s="29" t="s">
        <v>1109</v>
      </c>
      <c r="E326" s="29"/>
      <c r="F326" s="127">
        <f>6+22.8+8+5.8+3.3+9.4+14.1+8.9+1.1+1.5+1.1+1.3+0.8+17.3+4.5+61.3+4+18</f>
        <v>189.2</v>
      </c>
      <c r="G326" s="304"/>
      <c r="H326" s="124"/>
      <c r="I326" s="126"/>
      <c r="J326" s="146"/>
    </row>
    <row r="327" spans="1:10" s="123" customFormat="1" ht="21" x14ac:dyDescent="0.25">
      <c r="A327" s="188">
        <v>151</v>
      </c>
      <c r="B327" s="26">
        <v>771</v>
      </c>
      <c r="C327" s="26">
        <v>771574154</v>
      </c>
      <c r="D327" s="26" t="s">
        <v>122</v>
      </c>
      <c r="E327" s="26" t="s">
        <v>18</v>
      </c>
      <c r="F327" s="27">
        <f>SUM(F328:F328)</f>
        <v>95.9</v>
      </c>
      <c r="G327" s="299"/>
      <c r="H327" s="28">
        <f>F327*G327</f>
        <v>0</v>
      </c>
      <c r="J327" s="125"/>
    </row>
    <row r="328" spans="1:10" s="123" customFormat="1" ht="21.6" x14ac:dyDescent="0.3">
      <c r="A328" s="192"/>
      <c r="B328" s="29"/>
      <c r="C328" s="29"/>
      <c r="D328" s="29" t="s">
        <v>1166</v>
      </c>
      <c r="E328" s="29"/>
      <c r="F328" s="127">
        <v>95.9</v>
      </c>
      <c r="G328" s="304"/>
      <c r="H328" s="124"/>
      <c r="I328" s="126"/>
      <c r="J328" s="146"/>
    </row>
    <row r="329" spans="1:10" s="173" customFormat="1" x14ac:dyDescent="0.3">
      <c r="A329" s="190">
        <v>152</v>
      </c>
      <c r="B329" s="170">
        <v>597</v>
      </c>
      <c r="C329" s="170">
        <v>59761007</v>
      </c>
      <c r="D329" s="170" t="s">
        <v>123</v>
      </c>
      <c r="E329" s="170" t="s">
        <v>18</v>
      </c>
      <c r="F329" s="171">
        <f>F327*1.2</f>
        <v>115.08</v>
      </c>
      <c r="G329" s="300"/>
      <c r="H329" s="172">
        <f>F329*G329</f>
        <v>0</v>
      </c>
      <c r="J329" s="174"/>
    </row>
    <row r="330" spans="1:10" s="123" customFormat="1" ht="24.9" customHeight="1" x14ac:dyDescent="0.25">
      <c r="A330" s="188">
        <v>153</v>
      </c>
      <c r="B330" s="26">
        <v>771</v>
      </c>
      <c r="C330" s="26">
        <v>771574260</v>
      </c>
      <c r="D330" s="26" t="s">
        <v>1148</v>
      </c>
      <c r="E330" s="26" t="s">
        <v>18</v>
      </c>
      <c r="F330" s="27">
        <f>F331</f>
        <v>2.25</v>
      </c>
      <c r="G330" s="299"/>
      <c r="H330" s="28">
        <f>F330*G330</f>
        <v>0</v>
      </c>
      <c r="J330" s="125"/>
    </row>
    <row r="331" spans="1:10" s="123" customFormat="1" ht="13.8" x14ac:dyDescent="0.25">
      <c r="A331" s="188"/>
      <c r="B331" s="26"/>
      <c r="C331" s="26"/>
      <c r="D331" s="29" t="s">
        <v>1149</v>
      </c>
      <c r="E331" s="26"/>
      <c r="F331" s="30">
        <f>1.5*1.5</f>
        <v>2.25</v>
      </c>
      <c r="G331" s="299"/>
      <c r="H331" s="28"/>
      <c r="J331" s="125"/>
    </row>
    <row r="332" spans="1:10" s="173" customFormat="1" ht="21.6" x14ac:dyDescent="0.3">
      <c r="A332" s="190">
        <v>154</v>
      </c>
      <c r="B332" s="170">
        <v>597</v>
      </c>
      <c r="C332" s="170">
        <v>59761617</v>
      </c>
      <c r="D332" s="170" t="s">
        <v>1150</v>
      </c>
      <c r="E332" s="170" t="s">
        <v>18</v>
      </c>
      <c r="F332" s="171">
        <f>1.1*F330</f>
        <v>2.4750000000000001</v>
      </c>
      <c r="G332" s="300"/>
      <c r="H332" s="172">
        <f>F332*G332</f>
        <v>0</v>
      </c>
      <c r="J332" s="174"/>
    </row>
    <row r="333" spans="1:10" s="123" customFormat="1" ht="13.8" x14ac:dyDescent="0.25">
      <c r="A333" s="188">
        <v>155</v>
      </c>
      <c r="B333" s="26">
        <v>771</v>
      </c>
      <c r="C333" s="26">
        <v>771591112</v>
      </c>
      <c r="D333" s="26" t="s">
        <v>121</v>
      </c>
      <c r="E333" s="26" t="s">
        <v>18</v>
      </c>
      <c r="F333" s="27">
        <f>F334</f>
        <v>95.9</v>
      </c>
      <c r="G333" s="299"/>
      <c r="H333" s="28">
        <f>F333*G333</f>
        <v>0</v>
      </c>
      <c r="J333" s="125"/>
    </row>
    <row r="334" spans="1:10" s="123" customFormat="1" ht="13.8" x14ac:dyDescent="0.25">
      <c r="A334" s="188"/>
      <c r="B334" s="26"/>
      <c r="C334" s="26"/>
      <c r="D334" s="29" t="s">
        <v>1165</v>
      </c>
      <c r="E334" s="26"/>
      <c r="F334" s="30">
        <v>95.9</v>
      </c>
      <c r="G334" s="299"/>
      <c r="H334" s="28"/>
      <c r="J334" s="125"/>
    </row>
    <row r="335" spans="1:10" s="123" customFormat="1" ht="13.8" x14ac:dyDescent="0.25">
      <c r="A335" s="188">
        <v>156</v>
      </c>
      <c r="B335" s="26">
        <v>998</v>
      </c>
      <c r="C335" s="26">
        <v>998771201</v>
      </c>
      <c r="D335" s="26" t="s">
        <v>239</v>
      </c>
      <c r="E335" s="26" t="s">
        <v>21</v>
      </c>
      <c r="F335" s="27">
        <v>5.47</v>
      </c>
      <c r="G335" s="299"/>
      <c r="H335" s="28">
        <f>F335*G335</f>
        <v>0</v>
      </c>
      <c r="J335" s="125"/>
    </row>
    <row r="336" spans="1:10" s="123" customFormat="1" ht="13.8" x14ac:dyDescent="0.25">
      <c r="A336" s="188">
        <v>157</v>
      </c>
      <c r="B336" s="26">
        <v>999</v>
      </c>
      <c r="C336" s="26" t="s">
        <v>161</v>
      </c>
      <c r="D336" s="26" t="s">
        <v>162</v>
      </c>
      <c r="E336" s="26" t="s">
        <v>46</v>
      </c>
      <c r="F336" s="27">
        <v>1</v>
      </c>
      <c r="G336" s="299"/>
      <c r="H336" s="28">
        <f>F336*G336</f>
        <v>0</v>
      </c>
      <c r="J336" s="125"/>
    </row>
    <row r="337" spans="1:10" s="123" customFormat="1" ht="13.8" x14ac:dyDescent="0.25">
      <c r="A337" s="188"/>
      <c r="B337" s="26"/>
      <c r="C337" s="26"/>
      <c r="D337" s="29" t="s">
        <v>80</v>
      </c>
      <c r="E337" s="26"/>
      <c r="F337" s="30">
        <v>1</v>
      </c>
      <c r="G337" s="299"/>
      <c r="H337" s="28"/>
      <c r="J337" s="125"/>
    </row>
    <row r="338" spans="1:10" x14ac:dyDescent="0.3">
      <c r="A338" s="189"/>
      <c r="B338" s="15"/>
      <c r="C338" s="15">
        <v>776</v>
      </c>
      <c r="D338" s="15" t="s">
        <v>199</v>
      </c>
      <c r="E338" s="15"/>
      <c r="F338" s="16"/>
      <c r="G338" s="298"/>
      <c r="H338" s="17">
        <f>SUM(H339:H349)</f>
        <v>0</v>
      </c>
    </row>
    <row r="339" spans="1:10" s="123" customFormat="1" ht="13.8" x14ac:dyDescent="0.25">
      <c r="A339" s="188">
        <v>158</v>
      </c>
      <c r="B339" s="26">
        <v>776</v>
      </c>
      <c r="C339" s="26">
        <v>776111411</v>
      </c>
      <c r="D339" s="26" t="s">
        <v>1176</v>
      </c>
      <c r="E339" s="26" t="s">
        <v>73</v>
      </c>
      <c r="F339" s="27">
        <f>F340</f>
        <v>90.199999999999989</v>
      </c>
      <c r="G339" s="299"/>
      <c r="H339" s="28">
        <f>F339*G339</f>
        <v>0</v>
      </c>
      <c r="J339" s="125"/>
    </row>
    <row r="340" spans="1:10" s="126" customFormat="1" ht="13.8" x14ac:dyDescent="0.25">
      <c r="A340" s="188"/>
      <c r="B340" s="26"/>
      <c r="C340" s="26"/>
      <c r="D340" s="29" t="s">
        <v>1177</v>
      </c>
      <c r="E340" s="26"/>
      <c r="F340" s="30">
        <f>3.2+6.5+30.6+12.4+12.4+15.3+3+6.8</f>
        <v>90.199999999999989</v>
      </c>
      <c r="G340" s="301"/>
      <c r="H340" s="28"/>
      <c r="J340" s="125"/>
    </row>
    <row r="341" spans="1:10" s="173" customFormat="1" x14ac:dyDescent="0.3">
      <c r="A341" s="190">
        <v>159</v>
      </c>
      <c r="B341" s="170">
        <v>590</v>
      </c>
      <c r="C341" s="170" t="s">
        <v>1174</v>
      </c>
      <c r="D341" s="170" t="s">
        <v>1175</v>
      </c>
      <c r="E341" s="170" t="s">
        <v>73</v>
      </c>
      <c r="F341" s="171">
        <f>1.1*F339</f>
        <v>99.22</v>
      </c>
      <c r="G341" s="300"/>
      <c r="H341" s="172">
        <f>F341*G341</f>
        <v>0</v>
      </c>
      <c r="J341" s="174"/>
    </row>
    <row r="342" spans="1:10" s="123" customFormat="1" ht="13.8" x14ac:dyDescent="0.25">
      <c r="A342" s="188">
        <v>160</v>
      </c>
      <c r="B342" s="26">
        <v>776</v>
      </c>
      <c r="C342" s="26">
        <v>776121112</v>
      </c>
      <c r="D342" s="26" t="s">
        <v>233</v>
      </c>
      <c r="E342" s="26" t="s">
        <v>18</v>
      </c>
      <c r="F342" s="27">
        <f>F343</f>
        <v>108</v>
      </c>
      <c r="G342" s="299"/>
      <c r="H342" s="28">
        <f>F342*G342</f>
        <v>0</v>
      </c>
      <c r="J342" s="125"/>
    </row>
    <row r="343" spans="1:10" s="126" customFormat="1" ht="13.8" x14ac:dyDescent="0.25">
      <c r="A343" s="188"/>
      <c r="B343" s="26"/>
      <c r="C343" s="26"/>
      <c r="D343" s="29" t="s">
        <v>1157</v>
      </c>
      <c r="E343" s="26"/>
      <c r="F343" s="30">
        <v>108</v>
      </c>
      <c r="G343" s="301"/>
      <c r="H343" s="28"/>
      <c r="J343" s="125"/>
    </row>
    <row r="344" spans="1:10" s="123" customFormat="1" ht="13.8" x14ac:dyDescent="0.25">
      <c r="A344" s="188">
        <v>161</v>
      </c>
      <c r="B344" s="26">
        <v>776</v>
      </c>
      <c r="C344" s="26">
        <v>776221111</v>
      </c>
      <c r="D344" s="26" t="s">
        <v>234</v>
      </c>
      <c r="E344" s="26" t="s">
        <v>18</v>
      </c>
      <c r="F344" s="27">
        <f>F345</f>
        <v>108</v>
      </c>
      <c r="G344" s="299"/>
      <c r="H344" s="28">
        <f>F344*G344</f>
        <v>0</v>
      </c>
      <c r="J344" s="125"/>
    </row>
    <row r="345" spans="1:10" s="126" customFormat="1" ht="21" x14ac:dyDescent="0.25">
      <c r="A345" s="188"/>
      <c r="B345" s="26"/>
      <c r="C345" s="26"/>
      <c r="D345" s="29" t="s">
        <v>1159</v>
      </c>
      <c r="E345" s="26"/>
      <c r="F345" s="30">
        <v>108</v>
      </c>
      <c r="G345" s="301"/>
      <c r="H345" s="28"/>
      <c r="J345" s="125"/>
    </row>
    <row r="346" spans="1:10" s="173" customFormat="1" ht="31.8" x14ac:dyDescent="0.3">
      <c r="A346" s="190">
        <v>162</v>
      </c>
      <c r="B346" s="170">
        <v>284</v>
      </c>
      <c r="C346" s="170">
        <v>28411141</v>
      </c>
      <c r="D346" s="170" t="s">
        <v>1158</v>
      </c>
      <c r="E346" s="170" t="s">
        <v>18</v>
      </c>
      <c r="F346" s="171">
        <f>1.15*F344</f>
        <v>124.19999999999999</v>
      </c>
      <c r="G346" s="300"/>
      <c r="H346" s="172">
        <f>F346*G346</f>
        <v>0</v>
      </c>
      <c r="J346" s="174"/>
    </row>
    <row r="347" spans="1:10" s="123" customFormat="1" ht="13.8" x14ac:dyDescent="0.25">
      <c r="A347" s="188">
        <v>163</v>
      </c>
      <c r="B347" s="26">
        <v>998</v>
      </c>
      <c r="C347" s="26">
        <v>998776201</v>
      </c>
      <c r="D347" s="26" t="s">
        <v>235</v>
      </c>
      <c r="E347" s="26" t="s">
        <v>21</v>
      </c>
      <c r="F347" s="27">
        <v>0.37</v>
      </c>
      <c r="G347" s="299"/>
      <c r="H347" s="28">
        <f>F347*G347</f>
        <v>0</v>
      </c>
      <c r="J347" s="125"/>
    </row>
    <row r="348" spans="1:10" s="123" customFormat="1" ht="13.8" x14ac:dyDescent="0.25">
      <c r="A348" s="188">
        <v>164</v>
      </c>
      <c r="B348" s="26">
        <v>999</v>
      </c>
      <c r="C348" s="26" t="s">
        <v>236</v>
      </c>
      <c r="D348" s="26" t="s">
        <v>237</v>
      </c>
      <c r="E348" s="26" t="s">
        <v>46</v>
      </c>
      <c r="F348" s="27">
        <v>1</v>
      </c>
      <c r="G348" s="299"/>
      <c r="H348" s="28">
        <f>F348*G348</f>
        <v>0</v>
      </c>
      <c r="J348" s="125"/>
    </row>
    <row r="349" spans="1:10" s="123" customFormat="1" ht="13.8" x14ac:dyDescent="0.25">
      <c r="A349" s="188"/>
      <c r="B349" s="26"/>
      <c r="C349" s="26"/>
      <c r="D349" s="29" t="s">
        <v>80</v>
      </c>
      <c r="E349" s="26"/>
      <c r="F349" s="30">
        <v>1</v>
      </c>
      <c r="G349" s="299"/>
      <c r="H349" s="28"/>
      <c r="J349" s="125"/>
    </row>
    <row r="350" spans="1:10" x14ac:dyDescent="0.3">
      <c r="A350" s="189"/>
      <c r="B350" s="15"/>
      <c r="C350" s="15">
        <v>781</v>
      </c>
      <c r="D350" s="15" t="s">
        <v>131</v>
      </c>
      <c r="E350" s="15"/>
      <c r="F350" s="16"/>
      <c r="G350" s="298"/>
      <c r="H350" s="17">
        <f>SUM(H351:H360)</f>
        <v>0</v>
      </c>
    </row>
    <row r="351" spans="1:10" s="123" customFormat="1" ht="13.8" x14ac:dyDescent="0.25">
      <c r="A351" s="188">
        <v>165</v>
      </c>
      <c r="B351" s="26">
        <v>781</v>
      </c>
      <c r="C351" s="26">
        <v>781121011</v>
      </c>
      <c r="D351" s="26" t="s">
        <v>130</v>
      </c>
      <c r="E351" s="26" t="s">
        <v>18</v>
      </c>
      <c r="F351" s="27">
        <f>F352</f>
        <v>125.45999999999998</v>
      </c>
      <c r="G351" s="299"/>
      <c r="H351" s="28">
        <f>F351*G351</f>
        <v>0</v>
      </c>
      <c r="J351" s="125"/>
    </row>
    <row r="352" spans="1:10" s="123" customFormat="1" ht="13.8" x14ac:dyDescent="0.25">
      <c r="A352" s="188"/>
      <c r="B352" s="26"/>
      <c r="C352" s="26"/>
      <c r="D352" s="29" t="s">
        <v>132</v>
      </c>
      <c r="E352" s="26"/>
      <c r="F352" s="30">
        <f>F355</f>
        <v>125.45999999999998</v>
      </c>
      <c r="G352" s="299"/>
      <c r="H352" s="28"/>
      <c r="J352" s="125"/>
    </row>
    <row r="353" spans="1:11" s="123" customFormat="1" ht="13.8" x14ac:dyDescent="0.25">
      <c r="A353" s="188">
        <v>166</v>
      </c>
      <c r="B353" s="26">
        <v>781</v>
      </c>
      <c r="C353" s="26">
        <v>781131112</v>
      </c>
      <c r="D353" s="26" t="s">
        <v>133</v>
      </c>
      <c r="E353" s="26" t="s">
        <v>18</v>
      </c>
      <c r="F353" s="27">
        <f>F354</f>
        <v>125.45999999999998</v>
      </c>
      <c r="G353" s="299"/>
      <c r="H353" s="28">
        <f>F353*G353</f>
        <v>0</v>
      </c>
      <c r="J353" s="125"/>
    </row>
    <row r="354" spans="1:11" s="123" customFormat="1" ht="13.8" x14ac:dyDescent="0.25">
      <c r="A354" s="188"/>
      <c r="B354" s="26"/>
      <c r="C354" s="26"/>
      <c r="D354" s="29" t="s">
        <v>134</v>
      </c>
      <c r="E354" s="26"/>
      <c r="F354" s="30">
        <f>F355</f>
        <v>125.45999999999998</v>
      </c>
      <c r="G354" s="299"/>
      <c r="H354" s="28"/>
      <c r="J354" s="125"/>
    </row>
    <row r="355" spans="1:11" s="123" customFormat="1" ht="21" x14ac:dyDescent="0.25">
      <c r="A355" s="188">
        <v>167</v>
      </c>
      <c r="B355" s="26">
        <v>781</v>
      </c>
      <c r="C355" s="26">
        <v>781474154</v>
      </c>
      <c r="D355" s="26" t="s">
        <v>135</v>
      </c>
      <c r="E355" s="26" t="s">
        <v>18</v>
      </c>
      <c r="F355" s="27">
        <f>F356</f>
        <v>125.45999999999998</v>
      </c>
      <c r="G355" s="299"/>
      <c r="H355" s="28">
        <f>F355*G355</f>
        <v>0</v>
      </c>
      <c r="J355" s="125"/>
    </row>
    <row r="356" spans="1:11" s="123" customFormat="1" ht="21" x14ac:dyDescent="0.25">
      <c r="A356" s="188"/>
      <c r="B356" s="26"/>
      <c r="C356" s="26"/>
      <c r="D356" s="29" t="s">
        <v>1196</v>
      </c>
      <c r="E356" s="26"/>
      <c r="F356" s="30">
        <f>2.05*(4.8+3.1+7.2+10.6+6.4+0.6+2.5+4+6.1+6.8+2.3+2.3+2.5+2)</f>
        <v>125.45999999999998</v>
      </c>
      <c r="G356" s="299"/>
      <c r="H356" s="28"/>
      <c r="J356" s="125"/>
    </row>
    <row r="357" spans="1:11" s="173" customFormat="1" x14ac:dyDescent="0.3">
      <c r="A357" s="190">
        <v>168</v>
      </c>
      <c r="B357" s="170">
        <v>597</v>
      </c>
      <c r="C357" s="170">
        <v>59761001</v>
      </c>
      <c r="D357" s="170" t="s">
        <v>230</v>
      </c>
      <c r="E357" s="170" t="s">
        <v>18</v>
      </c>
      <c r="F357" s="171">
        <f>F355*1.2</f>
        <v>150.55199999999996</v>
      </c>
      <c r="G357" s="300"/>
      <c r="H357" s="172">
        <f>F357*G357</f>
        <v>0</v>
      </c>
      <c r="J357" s="174"/>
    </row>
    <row r="358" spans="1:11" s="123" customFormat="1" ht="13.8" x14ac:dyDescent="0.25">
      <c r="A358" s="188">
        <v>169</v>
      </c>
      <c r="B358" s="26">
        <v>998</v>
      </c>
      <c r="C358" s="26">
        <v>998781201</v>
      </c>
      <c r="D358" s="26" t="s">
        <v>238</v>
      </c>
      <c r="E358" s="26" t="s">
        <v>21</v>
      </c>
      <c r="F358" s="27">
        <v>2.8</v>
      </c>
      <c r="G358" s="299"/>
      <c r="H358" s="28">
        <f>F358*G358</f>
        <v>0</v>
      </c>
      <c r="J358" s="125"/>
    </row>
    <row r="359" spans="1:11" s="123" customFormat="1" ht="13.8" x14ac:dyDescent="0.25">
      <c r="A359" s="188">
        <v>170</v>
      </c>
      <c r="B359" s="26">
        <v>999</v>
      </c>
      <c r="C359" s="26" t="s">
        <v>163</v>
      </c>
      <c r="D359" s="26" t="s">
        <v>164</v>
      </c>
      <c r="E359" s="26" t="s">
        <v>46</v>
      </c>
      <c r="F359" s="27">
        <v>1</v>
      </c>
      <c r="G359" s="299"/>
      <c r="H359" s="28">
        <f>F359*G359</f>
        <v>0</v>
      </c>
      <c r="J359" s="125"/>
    </row>
    <row r="360" spans="1:11" s="123" customFormat="1" ht="13.8" x14ac:dyDescent="0.25">
      <c r="A360" s="188"/>
      <c r="B360" s="26"/>
      <c r="C360" s="26"/>
      <c r="D360" s="29" t="s">
        <v>80</v>
      </c>
      <c r="E360" s="26"/>
      <c r="F360" s="30">
        <v>1</v>
      </c>
      <c r="G360" s="299"/>
      <c r="H360" s="28"/>
      <c r="J360" s="125"/>
    </row>
    <row r="361" spans="1:11" x14ac:dyDescent="0.3">
      <c r="A361" s="189"/>
      <c r="B361" s="15"/>
      <c r="C361" s="15">
        <v>783</v>
      </c>
      <c r="D361" s="15" t="s">
        <v>1195</v>
      </c>
      <c r="E361" s="15"/>
      <c r="F361" s="16"/>
      <c r="G361" s="298"/>
      <c r="H361" s="17">
        <f>SUM(H362:H363)</f>
        <v>0</v>
      </c>
    </row>
    <row r="362" spans="1:11" s="123" customFormat="1" ht="13.8" x14ac:dyDescent="0.25">
      <c r="A362" s="188">
        <v>171</v>
      </c>
      <c r="B362" s="26">
        <v>783</v>
      </c>
      <c r="C362" s="26">
        <v>783827427</v>
      </c>
      <c r="D362" s="26" t="s">
        <v>1193</v>
      </c>
      <c r="E362" s="26" t="s">
        <v>18</v>
      </c>
      <c r="F362" s="27">
        <f>F363</f>
        <v>1131.9000000000001</v>
      </c>
      <c r="G362" s="299"/>
      <c r="H362" s="28">
        <f>F362*G362</f>
        <v>0</v>
      </c>
      <c r="J362" s="125"/>
    </row>
    <row r="363" spans="1:11" s="178" customFormat="1" x14ac:dyDescent="0.3">
      <c r="A363" s="295"/>
      <c r="B363" s="296"/>
      <c r="C363" s="296"/>
      <c r="D363" s="182" t="s">
        <v>1194</v>
      </c>
      <c r="E363" s="296"/>
      <c r="F363" s="183">
        <v>1131.9000000000001</v>
      </c>
      <c r="G363" s="305"/>
      <c r="H363" s="297"/>
      <c r="J363" s="146"/>
      <c r="K363" s="146"/>
    </row>
    <row r="364" spans="1:11" x14ac:dyDescent="0.3">
      <c r="A364" s="189"/>
      <c r="B364" s="15"/>
      <c r="C364" s="15">
        <v>784</v>
      </c>
      <c r="D364" s="15" t="s">
        <v>147</v>
      </c>
      <c r="E364" s="15"/>
      <c r="F364" s="16"/>
      <c r="G364" s="298"/>
      <c r="H364" s="17">
        <f>SUM(H365:H371)</f>
        <v>0</v>
      </c>
    </row>
    <row r="365" spans="1:11" s="123" customFormat="1" ht="13.8" x14ac:dyDescent="0.25">
      <c r="A365" s="188">
        <v>172</v>
      </c>
      <c r="B365" s="26">
        <v>784</v>
      </c>
      <c r="C365" s="26">
        <v>784181011</v>
      </c>
      <c r="D365" s="26" t="s">
        <v>1191</v>
      </c>
      <c r="E365" s="26" t="s">
        <v>18</v>
      </c>
      <c r="F365" s="27">
        <f>F366</f>
        <v>1131.8999999999999</v>
      </c>
      <c r="G365" s="299"/>
      <c r="H365" s="28">
        <f>F365*G365</f>
        <v>0</v>
      </c>
      <c r="J365" s="125"/>
    </row>
    <row r="366" spans="1:11" s="178" customFormat="1" ht="21.6" x14ac:dyDescent="0.3">
      <c r="A366" s="295"/>
      <c r="B366" s="296"/>
      <c r="C366" s="296"/>
      <c r="D366" s="182" t="s">
        <v>1192</v>
      </c>
      <c r="E366" s="296"/>
      <c r="F366" s="183">
        <f>3.3*(36+19.6+6+8*22.8+4+7+4*22)</f>
        <v>1131.8999999999999</v>
      </c>
      <c r="G366" s="305"/>
      <c r="H366" s="297"/>
      <c r="J366" s="146"/>
      <c r="K366" s="146"/>
    </row>
    <row r="367" spans="1:11" s="123" customFormat="1" ht="13.8" x14ac:dyDescent="0.25">
      <c r="A367" s="188">
        <v>173</v>
      </c>
      <c r="B367" s="26">
        <v>784</v>
      </c>
      <c r="C367" s="26">
        <v>784181101</v>
      </c>
      <c r="D367" s="26" t="s">
        <v>148</v>
      </c>
      <c r="E367" s="26" t="s">
        <v>18</v>
      </c>
      <c r="F367" s="27">
        <f>F368</f>
        <v>1034.472</v>
      </c>
      <c r="G367" s="299"/>
      <c r="H367" s="28">
        <f>F367*G367</f>
        <v>0</v>
      </c>
      <c r="J367" s="125"/>
    </row>
    <row r="368" spans="1:11" s="123" customFormat="1" ht="13.8" x14ac:dyDescent="0.25">
      <c r="A368" s="188"/>
      <c r="B368" s="26"/>
      <c r="C368" s="26"/>
      <c r="D368" s="29" t="s">
        <v>149</v>
      </c>
      <c r="E368" s="26"/>
      <c r="F368" s="30">
        <f>F369</f>
        <v>1034.472</v>
      </c>
      <c r="G368" s="299"/>
      <c r="H368" s="28"/>
      <c r="J368" s="125"/>
    </row>
    <row r="369" spans="1:11" s="123" customFormat="1" ht="13.8" x14ac:dyDescent="0.25">
      <c r="A369" s="188">
        <v>174</v>
      </c>
      <c r="B369" s="26">
        <v>784</v>
      </c>
      <c r="C369" s="26">
        <v>784211101</v>
      </c>
      <c r="D369" s="26" t="s">
        <v>150</v>
      </c>
      <c r="E369" s="26" t="s">
        <v>18</v>
      </c>
      <c r="F369" s="27">
        <f>SUM(F370:F371)</f>
        <v>1034.472</v>
      </c>
      <c r="G369" s="299"/>
      <c r="H369" s="28">
        <f>F369*G369</f>
        <v>0</v>
      </c>
      <c r="J369" s="125"/>
    </row>
    <row r="370" spans="1:11" s="123" customFormat="1" ht="13.8" x14ac:dyDescent="0.25">
      <c r="A370" s="188"/>
      <c r="B370" s="26"/>
      <c r="C370" s="26"/>
      <c r="D370" s="29" t="s">
        <v>229</v>
      </c>
      <c r="E370" s="26"/>
      <c r="F370" s="30">
        <f>F207+F209+F211+F214</f>
        <v>194.89</v>
      </c>
      <c r="G370" s="299"/>
      <c r="H370" s="28"/>
      <c r="J370" s="125"/>
    </row>
    <row r="371" spans="1:11" s="123" customFormat="1" ht="13.8" x14ac:dyDescent="0.25">
      <c r="A371" s="188"/>
      <c r="B371" s="26"/>
      <c r="C371" s="26"/>
      <c r="D371" s="29" t="s">
        <v>151</v>
      </c>
      <c r="E371" s="26"/>
      <c r="F371" s="30">
        <f>F87+F81</f>
        <v>839.58199999999999</v>
      </c>
      <c r="G371" s="299"/>
      <c r="H371" s="28"/>
      <c r="J371" s="125"/>
    </row>
    <row r="372" spans="1:11" x14ac:dyDescent="0.3">
      <c r="A372" s="189"/>
      <c r="B372" s="15"/>
      <c r="C372" s="15">
        <v>786</v>
      </c>
      <c r="D372" s="15" t="s">
        <v>172</v>
      </c>
      <c r="E372" s="15"/>
      <c r="F372" s="16"/>
      <c r="G372" s="298"/>
      <c r="H372" s="17">
        <f>SUM(H373:H381)</f>
        <v>0</v>
      </c>
    </row>
    <row r="373" spans="1:11" s="123" customFormat="1" ht="13.8" x14ac:dyDescent="0.25">
      <c r="A373" s="188">
        <v>175</v>
      </c>
      <c r="B373" s="26">
        <v>786</v>
      </c>
      <c r="C373" s="26" t="s">
        <v>173</v>
      </c>
      <c r="D373" s="26" t="s">
        <v>1230</v>
      </c>
      <c r="E373" s="26" t="s">
        <v>26</v>
      </c>
      <c r="F373" s="27">
        <f>F374</f>
        <v>3</v>
      </c>
      <c r="G373" s="299"/>
      <c r="H373" s="28">
        <f>F373*G373</f>
        <v>0</v>
      </c>
      <c r="J373" s="125"/>
    </row>
    <row r="374" spans="1:11" s="178" customFormat="1" ht="21.6" x14ac:dyDescent="0.3">
      <c r="A374" s="295"/>
      <c r="B374" s="296"/>
      <c r="C374" s="296"/>
      <c r="D374" s="182" t="s">
        <v>1228</v>
      </c>
      <c r="E374" s="296"/>
      <c r="F374" s="183">
        <v>3</v>
      </c>
      <c r="G374" s="305"/>
      <c r="H374" s="297"/>
      <c r="J374" s="146"/>
      <c r="K374" s="146"/>
    </row>
    <row r="375" spans="1:11" s="178" customFormat="1" x14ac:dyDescent="0.3">
      <c r="A375" s="295"/>
      <c r="B375" s="296"/>
      <c r="C375" s="296"/>
      <c r="D375" s="182" t="s">
        <v>1074</v>
      </c>
      <c r="E375" s="296"/>
      <c r="F375" s="183"/>
      <c r="G375" s="305"/>
      <c r="H375" s="297"/>
      <c r="J375" s="146"/>
      <c r="K375" s="146"/>
    </row>
    <row r="376" spans="1:11" s="123" customFormat="1" ht="13.8" x14ac:dyDescent="0.25">
      <c r="A376" s="188">
        <v>176</v>
      </c>
      <c r="B376" s="26">
        <v>786</v>
      </c>
      <c r="C376" s="26" t="s">
        <v>173</v>
      </c>
      <c r="D376" s="26" t="s">
        <v>1229</v>
      </c>
      <c r="E376" s="26" t="s">
        <v>26</v>
      </c>
      <c r="F376" s="27">
        <f>F377</f>
        <v>2</v>
      </c>
      <c r="G376" s="299"/>
      <c r="H376" s="28">
        <f>F376*G376</f>
        <v>0</v>
      </c>
      <c r="J376" s="125"/>
    </row>
    <row r="377" spans="1:11" s="178" customFormat="1" ht="21.6" x14ac:dyDescent="0.3">
      <c r="A377" s="295"/>
      <c r="B377" s="296"/>
      <c r="C377" s="296"/>
      <c r="D377" s="182" t="s">
        <v>1228</v>
      </c>
      <c r="E377" s="296"/>
      <c r="F377" s="183">
        <v>2</v>
      </c>
      <c r="G377" s="305"/>
      <c r="H377" s="297"/>
      <c r="J377" s="146"/>
      <c r="K377" s="146"/>
    </row>
    <row r="378" spans="1:11" s="178" customFormat="1" x14ac:dyDescent="0.3">
      <c r="A378" s="295"/>
      <c r="B378" s="296"/>
      <c r="C378" s="296"/>
      <c r="D378" s="182" t="s">
        <v>1074</v>
      </c>
      <c r="E378" s="296"/>
      <c r="F378" s="183"/>
      <c r="G378" s="305"/>
      <c r="H378" s="297"/>
      <c r="J378" s="146"/>
      <c r="K378" s="146"/>
    </row>
    <row r="379" spans="1:11" s="123" customFormat="1" ht="13.8" x14ac:dyDescent="0.25">
      <c r="A379" s="188">
        <v>177</v>
      </c>
      <c r="B379" s="26">
        <v>998</v>
      </c>
      <c r="C379" s="26">
        <v>998786201</v>
      </c>
      <c r="D379" s="26" t="s">
        <v>174</v>
      </c>
      <c r="E379" s="26" t="s">
        <v>21</v>
      </c>
      <c r="F379" s="27">
        <v>0.2</v>
      </c>
      <c r="G379" s="299"/>
      <c r="H379" s="28">
        <f>F379*G379</f>
        <v>0</v>
      </c>
      <c r="J379" s="125"/>
    </row>
    <row r="380" spans="1:11" s="123" customFormat="1" ht="13.8" x14ac:dyDescent="0.25">
      <c r="A380" s="188">
        <v>178</v>
      </c>
      <c r="B380" s="26">
        <v>999</v>
      </c>
      <c r="C380" s="26" t="s">
        <v>175</v>
      </c>
      <c r="D380" s="26" t="s">
        <v>176</v>
      </c>
      <c r="E380" s="26" t="s">
        <v>46</v>
      </c>
      <c r="F380" s="27">
        <v>1</v>
      </c>
      <c r="G380" s="299"/>
      <c r="H380" s="28">
        <f>F380*G380</f>
        <v>0</v>
      </c>
      <c r="J380" s="125"/>
    </row>
    <row r="381" spans="1:11" s="123" customFormat="1" ht="13.8" x14ac:dyDescent="0.25">
      <c r="A381" s="188"/>
      <c r="B381" s="26"/>
      <c r="C381" s="26"/>
      <c r="D381" s="29" t="s">
        <v>80</v>
      </c>
      <c r="E381" s="26"/>
      <c r="F381" s="30">
        <v>1</v>
      </c>
      <c r="G381" s="299"/>
      <c r="H381" s="28"/>
      <c r="J381" s="125"/>
    </row>
    <row r="382" spans="1:11" x14ac:dyDescent="0.3">
      <c r="A382" s="189"/>
      <c r="B382" s="15"/>
      <c r="C382" s="15">
        <v>790</v>
      </c>
      <c r="D382" s="15" t="s">
        <v>62</v>
      </c>
      <c r="E382" s="15"/>
      <c r="F382" s="16"/>
      <c r="G382" s="298"/>
      <c r="H382" s="17">
        <f>SUM(H383:H394)</f>
        <v>0</v>
      </c>
    </row>
    <row r="383" spans="1:11" s="123" customFormat="1" ht="13.8" x14ac:dyDescent="0.25">
      <c r="A383" s="151" t="s">
        <v>1220</v>
      </c>
      <c r="B383" s="31" t="s">
        <v>76</v>
      </c>
      <c r="C383" s="26" t="s">
        <v>75</v>
      </c>
      <c r="D383" s="26" t="s">
        <v>1075</v>
      </c>
      <c r="E383" s="26" t="s">
        <v>73</v>
      </c>
      <c r="F383" s="27">
        <f>F384</f>
        <v>86</v>
      </c>
      <c r="G383" s="299"/>
      <c r="H383" s="28">
        <f>F383*G383</f>
        <v>0</v>
      </c>
      <c r="J383" s="125"/>
    </row>
    <row r="384" spans="1:11" s="123" customFormat="1" x14ac:dyDescent="0.3">
      <c r="A384" s="192"/>
      <c r="B384" s="29"/>
      <c r="C384" s="29"/>
      <c r="D384" s="29" t="s">
        <v>179</v>
      </c>
      <c r="E384" s="29"/>
      <c r="F384" s="127">
        <v>86</v>
      </c>
      <c r="G384" s="304"/>
      <c r="H384" s="124"/>
      <c r="I384" s="126"/>
      <c r="J384" s="146"/>
    </row>
    <row r="385" spans="1:11" s="123" customFormat="1" ht="13.8" x14ac:dyDescent="0.25">
      <c r="A385" s="151" t="s">
        <v>1221</v>
      </c>
      <c r="B385" s="31" t="s">
        <v>76</v>
      </c>
      <c r="C385" s="26" t="s">
        <v>180</v>
      </c>
      <c r="D385" s="26" t="s">
        <v>1076</v>
      </c>
      <c r="E385" s="26" t="s">
        <v>73</v>
      </c>
      <c r="F385" s="27">
        <f>F386</f>
        <v>12.5</v>
      </c>
      <c r="G385" s="299"/>
      <c r="H385" s="28">
        <f>F385*G385</f>
        <v>0</v>
      </c>
      <c r="J385" s="125"/>
    </row>
    <row r="386" spans="1:11" s="123" customFormat="1" x14ac:dyDescent="0.3">
      <c r="A386" s="192"/>
      <c r="B386" s="29"/>
      <c r="C386" s="29"/>
      <c r="D386" s="29" t="s">
        <v>184</v>
      </c>
      <c r="E386" s="29"/>
      <c r="F386" s="127">
        <v>12.5</v>
      </c>
      <c r="G386" s="304"/>
      <c r="H386" s="124"/>
      <c r="I386" s="126"/>
      <c r="J386" s="146"/>
    </row>
    <row r="387" spans="1:11" s="123" customFormat="1" x14ac:dyDescent="0.3">
      <c r="A387" s="192"/>
      <c r="B387" s="29"/>
      <c r="C387" s="29"/>
      <c r="D387" s="29" t="s">
        <v>179</v>
      </c>
      <c r="E387" s="29"/>
      <c r="F387" s="127"/>
      <c r="G387" s="304"/>
      <c r="H387" s="124"/>
      <c r="I387" s="126"/>
      <c r="J387" s="146"/>
    </row>
    <row r="388" spans="1:11" s="123" customFormat="1" ht="13.8" x14ac:dyDescent="0.25">
      <c r="A388" s="151" t="s">
        <v>1222</v>
      </c>
      <c r="B388" s="31" t="s">
        <v>76</v>
      </c>
      <c r="C388" s="26" t="s">
        <v>181</v>
      </c>
      <c r="D388" s="26" t="s">
        <v>1077</v>
      </c>
      <c r="E388" s="26" t="s">
        <v>26</v>
      </c>
      <c r="F388" s="27">
        <f>F389</f>
        <v>16</v>
      </c>
      <c r="G388" s="299"/>
      <c r="H388" s="28">
        <f>F388*G388</f>
        <v>0</v>
      </c>
      <c r="J388" s="125"/>
    </row>
    <row r="389" spans="1:11" s="123" customFormat="1" x14ac:dyDescent="0.3">
      <c r="A389" s="192"/>
      <c r="B389" s="29"/>
      <c r="C389" s="29"/>
      <c r="D389" s="29" t="s">
        <v>179</v>
      </c>
      <c r="E389" s="29"/>
      <c r="F389" s="127">
        <v>16</v>
      </c>
      <c r="G389" s="304"/>
      <c r="H389" s="124"/>
      <c r="I389" s="126"/>
      <c r="J389" s="146"/>
    </row>
    <row r="390" spans="1:11" s="123" customFormat="1" ht="13.8" x14ac:dyDescent="0.25">
      <c r="A390" s="151" t="s">
        <v>1223</v>
      </c>
      <c r="B390" s="31" t="s">
        <v>76</v>
      </c>
      <c r="C390" s="26" t="s">
        <v>182</v>
      </c>
      <c r="D390" s="26" t="s">
        <v>1078</v>
      </c>
      <c r="E390" s="26" t="s">
        <v>26</v>
      </c>
      <c r="F390" s="27">
        <f>F391</f>
        <v>3</v>
      </c>
      <c r="G390" s="299"/>
      <c r="H390" s="28">
        <f>F390*G390</f>
        <v>0</v>
      </c>
      <c r="J390" s="125"/>
    </row>
    <row r="391" spans="1:11" s="123" customFormat="1" x14ac:dyDescent="0.3">
      <c r="A391" s="192"/>
      <c r="B391" s="29"/>
      <c r="C391" s="29"/>
      <c r="D391" s="29" t="s">
        <v>179</v>
      </c>
      <c r="E391" s="29"/>
      <c r="F391" s="127">
        <v>3</v>
      </c>
      <c r="G391" s="304"/>
      <c r="H391" s="124"/>
      <c r="I391" s="126"/>
      <c r="J391" s="146"/>
    </row>
    <row r="392" spans="1:11" s="123" customFormat="1" ht="13.8" x14ac:dyDescent="0.25">
      <c r="A392" s="151" t="s">
        <v>1224</v>
      </c>
      <c r="B392" s="31" t="s">
        <v>76</v>
      </c>
      <c r="C392" s="26" t="s">
        <v>183</v>
      </c>
      <c r="D392" s="26" t="s">
        <v>1079</v>
      </c>
      <c r="E392" s="26" t="s">
        <v>26</v>
      </c>
      <c r="F392" s="27">
        <f>F393</f>
        <v>1</v>
      </c>
      <c r="G392" s="299"/>
      <c r="H392" s="28">
        <f>F392*G392</f>
        <v>0</v>
      </c>
      <c r="J392" s="125"/>
    </row>
    <row r="393" spans="1:11" s="178" customFormat="1" ht="21.6" x14ac:dyDescent="0.3">
      <c r="A393" s="295"/>
      <c r="B393" s="296"/>
      <c r="C393" s="296"/>
      <c r="D393" s="182" t="s">
        <v>1080</v>
      </c>
      <c r="E393" s="296"/>
      <c r="F393" s="183">
        <v>1</v>
      </c>
      <c r="G393" s="305"/>
      <c r="H393" s="297"/>
      <c r="J393" s="146"/>
      <c r="K393" s="146"/>
    </row>
    <row r="394" spans="1:11" s="123" customFormat="1" x14ac:dyDescent="0.3">
      <c r="A394" s="192"/>
      <c r="B394" s="29"/>
      <c r="C394" s="29"/>
      <c r="D394" s="29" t="s">
        <v>179</v>
      </c>
      <c r="E394" s="29"/>
      <c r="F394" s="127"/>
      <c r="G394" s="304"/>
      <c r="H394" s="124"/>
      <c r="I394" s="126"/>
      <c r="J394" s="146"/>
    </row>
    <row r="395" spans="1:11" x14ac:dyDescent="0.3">
      <c r="A395" s="32"/>
      <c r="B395" s="20"/>
      <c r="C395" s="20"/>
      <c r="D395" s="20"/>
      <c r="E395" s="20"/>
      <c r="F395" s="33"/>
      <c r="G395" s="24"/>
      <c r="H395" s="24"/>
    </row>
    <row r="396" spans="1:11" x14ac:dyDescent="0.3">
      <c r="A396" s="450" t="s">
        <v>23</v>
      </c>
      <c r="B396" s="451"/>
      <c r="C396" s="452"/>
      <c r="D396" s="165"/>
      <c r="E396" s="166"/>
      <c r="F396" s="167"/>
      <c r="G396" s="168"/>
      <c r="H396" s="169">
        <f>H169+H8</f>
        <v>0</v>
      </c>
    </row>
    <row r="397" spans="1:11" x14ac:dyDescent="0.3">
      <c r="A397" s="18"/>
      <c r="B397" s="19"/>
      <c r="C397" s="19"/>
      <c r="D397" s="20"/>
      <c r="E397" s="21"/>
      <c r="F397" s="22"/>
      <c r="G397" s="23"/>
      <c r="H397" s="24"/>
    </row>
    <row r="398" spans="1:11" x14ac:dyDescent="0.3">
      <c r="A398" s="25" t="s">
        <v>24</v>
      </c>
      <c r="B398" s="25"/>
      <c r="C398" s="25"/>
      <c r="D398" s="25"/>
      <c r="E398" s="25"/>
      <c r="F398" s="25"/>
      <c r="G398" s="149"/>
      <c r="H398" s="25"/>
    </row>
    <row r="399" spans="1:11" ht="27" customHeight="1" x14ac:dyDescent="0.3">
      <c r="A399" s="449" t="s">
        <v>25</v>
      </c>
      <c r="B399" s="449"/>
      <c r="C399" s="449"/>
      <c r="D399" s="449"/>
      <c r="E399" s="449"/>
      <c r="F399" s="449"/>
      <c r="G399" s="449"/>
      <c r="H399" s="25"/>
    </row>
    <row r="400" spans="1:11" x14ac:dyDescent="0.3">
      <c r="A400" s="9"/>
      <c r="B400" s="9"/>
      <c r="C400" s="9"/>
      <c r="D400" s="9"/>
      <c r="E400" s="9"/>
      <c r="F400" s="9"/>
      <c r="G400" s="147"/>
      <c r="H400" s="9"/>
    </row>
    <row r="401" spans="1:8" x14ac:dyDescent="0.3">
      <c r="A401" s="9"/>
      <c r="B401" s="9"/>
      <c r="C401" s="9"/>
      <c r="D401" s="9"/>
      <c r="E401" s="9"/>
      <c r="F401" s="9"/>
      <c r="G401" s="147"/>
      <c r="H401" s="9"/>
    </row>
  </sheetData>
  <sheetProtection algorithmName="SHA-512" hashValue="UrNl2CW2bSkXzt13+y4jU8R4X0I47jJ3qNpFTiyq+fzC8bDrGnVzTtTl5rwWu6WhCcyIRo7P4P1rqKVbeHISIA==" saltValue="JATCGJaMmdqLEm+WlpCxCA==" spinCount="100000" sheet="1" objects="1" scenarios="1"/>
  <mergeCells count="2">
    <mergeCell ref="A396:C396"/>
    <mergeCell ref="A399:G399"/>
  </mergeCells>
  <pageMargins left="0.70866141732283472" right="0.70866141732283472" top="0.78740157480314965" bottom="0.78740157480314965" header="0.31496062992125984" footer="0.31496062992125984"/>
  <pageSetup paperSize="9" scale="63" fitToHeight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25" zoomScaleNormal="100" workbookViewId="0">
      <selection activeCell="O41" sqref="O41"/>
    </sheetView>
  </sheetViews>
  <sheetFormatPr defaultColWidth="11.44140625" defaultRowHeight="13.2" x14ac:dyDescent="0.25"/>
  <cols>
    <col min="1" max="1" width="6" style="241" customWidth="1"/>
    <col min="2" max="2" width="32.44140625" style="241" customWidth="1"/>
    <col min="3" max="3" width="12.6640625" style="241" customWidth="1"/>
    <col min="4" max="4" width="13.44140625" style="241" customWidth="1"/>
    <col min="5" max="5" width="6.33203125" style="241" customWidth="1"/>
    <col min="6" max="6" width="6.109375" style="241" customWidth="1"/>
    <col min="7" max="7" width="7" style="241" customWidth="1"/>
    <col min="8" max="8" width="4" style="241" customWidth="1"/>
    <col min="9" max="9" width="9.33203125" style="241" customWidth="1"/>
    <col min="10" max="254" width="8.88671875" style="241" customWidth="1"/>
    <col min="255" max="255" width="6" style="241" customWidth="1"/>
    <col min="256" max="256" width="32.44140625" style="241" customWidth="1"/>
    <col min="257" max="257" width="12.6640625" style="241" customWidth="1"/>
    <col min="258" max="258" width="13.44140625" style="241" customWidth="1"/>
    <col min="259" max="259" width="6.33203125" style="241" customWidth="1"/>
    <col min="260" max="260" width="6.109375" style="241" customWidth="1"/>
    <col min="261" max="261" width="7" style="241" customWidth="1"/>
    <col min="262" max="262" width="4" style="241" customWidth="1"/>
    <col min="263" max="263" width="9.33203125" style="241" customWidth="1"/>
    <col min="264" max="264" width="8.88671875" style="241" customWidth="1"/>
    <col min="265" max="265" width="8.44140625" style="241" customWidth="1"/>
    <col min="266" max="510" width="8.88671875" style="241" customWidth="1"/>
    <col min="511" max="511" width="6" style="241" customWidth="1"/>
    <col min="512" max="512" width="32.44140625" style="241" customWidth="1"/>
    <col min="513" max="513" width="12.6640625" style="241" customWidth="1"/>
    <col min="514" max="514" width="13.44140625" style="241" customWidth="1"/>
    <col min="515" max="515" width="6.33203125" style="241" customWidth="1"/>
    <col min="516" max="516" width="6.109375" style="241" customWidth="1"/>
    <col min="517" max="517" width="7" style="241" customWidth="1"/>
    <col min="518" max="518" width="4" style="241" customWidth="1"/>
    <col min="519" max="519" width="9.33203125" style="241" customWidth="1"/>
    <col min="520" max="520" width="8.88671875" style="241" customWidth="1"/>
    <col min="521" max="521" width="8.44140625" style="241" customWidth="1"/>
    <col min="522" max="766" width="8.88671875" style="241" customWidth="1"/>
    <col min="767" max="767" width="6" style="241" customWidth="1"/>
    <col min="768" max="768" width="32.44140625" style="241" customWidth="1"/>
    <col min="769" max="769" width="12.6640625" style="241" customWidth="1"/>
    <col min="770" max="770" width="13.44140625" style="241" customWidth="1"/>
    <col min="771" max="771" width="6.33203125" style="241" customWidth="1"/>
    <col min="772" max="772" width="6.109375" style="241" customWidth="1"/>
    <col min="773" max="773" width="7" style="241" customWidth="1"/>
    <col min="774" max="774" width="4" style="241" customWidth="1"/>
    <col min="775" max="775" width="9.33203125" style="241" customWidth="1"/>
    <col min="776" max="776" width="8.88671875" style="241" customWidth="1"/>
    <col min="777" max="777" width="8.44140625" style="241" customWidth="1"/>
    <col min="778" max="1022" width="8.88671875" style="241" customWidth="1"/>
    <col min="1023" max="1023" width="6" style="241" customWidth="1"/>
    <col min="1024" max="1024" width="32.44140625" style="241" customWidth="1"/>
    <col min="1025" max="1025" width="12.6640625" style="241" customWidth="1"/>
    <col min="1026" max="1026" width="13.44140625" style="241" customWidth="1"/>
    <col min="1027" max="1027" width="6.33203125" style="241" customWidth="1"/>
    <col min="1028" max="1028" width="6.109375" style="241" customWidth="1"/>
    <col min="1029" max="1029" width="7" style="241" customWidth="1"/>
    <col min="1030" max="1030" width="4" style="241" customWidth="1"/>
    <col min="1031" max="1031" width="9.33203125" style="241" customWidth="1"/>
    <col min="1032" max="1032" width="8.88671875" style="241" customWidth="1"/>
    <col min="1033" max="1033" width="8.44140625" style="241" customWidth="1"/>
    <col min="1034" max="1278" width="8.88671875" style="241" customWidth="1"/>
    <col min="1279" max="1279" width="6" style="241" customWidth="1"/>
    <col min="1280" max="1280" width="32.44140625" style="241" customWidth="1"/>
    <col min="1281" max="1281" width="12.6640625" style="241" customWidth="1"/>
    <col min="1282" max="1282" width="13.44140625" style="241" customWidth="1"/>
    <col min="1283" max="1283" width="6.33203125" style="241" customWidth="1"/>
    <col min="1284" max="1284" width="6.109375" style="241" customWidth="1"/>
    <col min="1285" max="1285" width="7" style="241" customWidth="1"/>
    <col min="1286" max="1286" width="4" style="241" customWidth="1"/>
    <col min="1287" max="1287" width="9.33203125" style="241" customWidth="1"/>
    <col min="1288" max="1288" width="8.88671875" style="241" customWidth="1"/>
    <col min="1289" max="1289" width="8.44140625" style="241" customWidth="1"/>
    <col min="1290" max="1534" width="8.88671875" style="241" customWidth="1"/>
    <col min="1535" max="1535" width="6" style="241" customWidth="1"/>
    <col min="1536" max="1536" width="32.44140625" style="241" customWidth="1"/>
    <col min="1537" max="1537" width="12.6640625" style="241" customWidth="1"/>
    <col min="1538" max="1538" width="13.44140625" style="241" customWidth="1"/>
    <col min="1539" max="1539" width="6.33203125" style="241" customWidth="1"/>
    <col min="1540" max="1540" width="6.109375" style="241" customWidth="1"/>
    <col min="1541" max="1541" width="7" style="241" customWidth="1"/>
    <col min="1542" max="1542" width="4" style="241" customWidth="1"/>
    <col min="1543" max="1543" width="9.33203125" style="241" customWidth="1"/>
    <col min="1544" max="1544" width="8.88671875" style="241" customWidth="1"/>
    <col min="1545" max="1545" width="8.44140625" style="241" customWidth="1"/>
    <col min="1546" max="1790" width="8.88671875" style="241" customWidth="1"/>
    <col min="1791" max="1791" width="6" style="241" customWidth="1"/>
    <col min="1792" max="1792" width="32.44140625" style="241" customWidth="1"/>
    <col min="1793" max="1793" width="12.6640625" style="241" customWidth="1"/>
    <col min="1794" max="1794" width="13.44140625" style="241" customWidth="1"/>
    <col min="1795" max="1795" width="6.33203125" style="241" customWidth="1"/>
    <col min="1796" max="1796" width="6.109375" style="241" customWidth="1"/>
    <col min="1797" max="1797" width="7" style="241" customWidth="1"/>
    <col min="1798" max="1798" width="4" style="241" customWidth="1"/>
    <col min="1799" max="1799" width="9.33203125" style="241" customWidth="1"/>
    <col min="1800" max="1800" width="8.88671875" style="241" customWidth="1"/>
    <col min="1801" max="1801" width="8.44140625" style="241" customWidth="1"/>
    <col min="1802" max="2046" width="8.88671875" style="241" customWidth="1"/>
    <col min="2047" max="2047" width="6" style="241" customWidth="1"/>
    <col min="2048" max="2048" width="32.44140625" style="241" customWidth="1"/>
    <col min="2049" max="2049" width="12.6640625" style="241" customWidth="1"/>
    <col min="2050" max="2050" width="13.44140625" style="241" customWidth="1"/>
    <col min="2051" max="2051" width="6.33203125" style="241" customWidth="1"/>
    <col min="2052" max="2052" width="6.109375" style="241" customWidth="1"/>
    <col min="2053" max="2053" width="7" style="241" customWidth="1"/>
    <col min="2054" max="2054" width="4" style="241" customWidth="1"/>
    <col min="2055" max="2055" width="9.33203125" style="241" customWidth="1"/>
    <col min="2056" max="2056" width="8.88671875" style="241" customWidth="1"/>
    <col min="2057" max="2057" width="8.44140625" style="241" customWidth="1"/>
    <col min="2058" max="2302" width="8.88671875" style="241" customWidth="1"/>
    <col min="2303" max="2303" width="6" style="241" customWidth="1"/>
    <col min="2304" max="2304" width="32.44140625" style="241" customWidth="1"/>
    <col min="2305" max="2305" width="12.6640625" style="241" customWidth="1"/>
    <col min="2306" max="2306" width="13.44140625" style="241" customWidth="1"/>
    <col min="2307" max="2307" width="6.33203125" style="241" customWidth="1"/>
    <col min="2308" max="2308" width="6.109375" style="241" customWidth="1"/>
    <col min="2309" max="2309" width="7" style="241" customWidth="1"/>
    <col min="2310" max="2310" width="4" style="241" customWidth="1"/>
    <col min="2311" max="2311" width="9.33203125" style="241" customWidth="1"/>
    <col min="2312" max="2312" width="8.88671875" style="241" customWidth="1"/>
    <col min="2313" max="2313" width="8.44140625" style="241" customWidth="1"/>
    <col min="2314" max="2558" width="8.88671875" style="241" customWidth="1"/>
    <col min="2559" max="2559" width="6" style="241" customWidth="1"/>
    <col min="2560" max="2560" width="32.44140625" style="241" customWidth="1"/>
    <col min="2561" max="2561" width="12.6640625" style="241" customWidth="1"/>
    <col min="2562" max="2562" width="13.44140625" style="241" customWidth="1"/>
    <col min="2563" max="2563" width="6.33203125" style="241" customWidth="1"/>
    <col min="2564" max="2564" width="6.109375" style="241" customWidth="1"/>
    <col min="2565" max="2565" width="7" style="241" customWidth="1"/>
    <col min="2566" max="2566" width="4" style="241" customWidth="1"/>
    <col min="2567" max="2567" width="9.33203125" style="241" customWidth="1"/>
    <col min="2568" max="2568" width="8.88671875" style="241" customWidth="1"/>
    <col min="2569" max="2569" width="8.44140625" style="241" customWidth="1"/>
    <col min="2570" max="2814" width="8.88671875" style="241" customWidth="1"/>
    <col min="2815" max="2815" width="6" style="241" customWidth="1"/>
    <col min="2816" max="2816" width="32.44140625" style="241" customWidth="1"/>
    <col min="2817" max="2817" width="12.6640625" style="241" customWidth="1"/>
    <col min="2818" max="2818" width="13.44140625" style="241" customWidth="1"/>
    <col min="2819" max="2819" width="6.33203125" style="241" customWidth="1"/>
    <col min="2820" max="2820" width="6.109375" style="241" customWidth="1"/>
    <col min="2821" max="2821" width="7" style="241" customWidth="1"/>
    <col min="2822" max="2822" width="4" style="241" customWidth="1"/>
    <col min="2823" max="2823" width="9.33203125" style="241" customWidth="1"/>
    <col min="2824" max="2824" width="8.88671875" style="241" customWidth="1"/>
    <col min="2825" max="2825" width="8.44140625" style="241" customWidth="1"/>
    <col min="2826" max="3070" width="8.88671875" style="241" customWidth="1"/>
    <col min="3071" max="3071" width="6" style="241" customWidth="1"/>
    <col min="3072" max="3072" width="32.44140625" style="241" customWidth="1"/>
    <col min="3073" max="3073" width="12.6640625" style="241" customWidth="1"/>
    <col min="3074" max="3074" width="13.44140625" style="241" customWidth="1"/>
    <col min="3075" max="3075" width="6.33203125" style="241" customWidth="1"/>
    <col min="3076" max="3076" width="6.109375" style="241" customWidth="1"/>
    <col min="3077" max="3077" width="7" style="241" customWidth="1"/>
    <col min="3078" max="3078" width="4" style="241" customWidth="1"/>
    <col min="3079" max="3079" width="9.33203125" style="241" customWidth="1"/>
    <col min="3080" max="3080" width="8.88671875" style="241" customWidth="1"/>
    <col min="3081" max="3081" width="8.44140625" style="241" customWidth="1"/>
    <col min="3082" max="3326" width="8.88671875" style="241" customWidth="1"/>
    <col min="3327" max="3327" width="6" style="241" customWidth="1"/>
    <col min="3328" max="3328" width="32.44140625" style="241" customWidth="1"/>
    <col min="3329" max="3329" width="12.6640625" style="241" customWidth="1"/>
    <col min="3330" max="3330" width="13.44140625" style="241" customWidth="1"/>
    <col min="3331" max="3331" width="6.33203125" style="241" customWidth="1"/>
    <col min="3332" max="3332" width="6.109375" style="241" customWidth="1"/>
    <col min="3333" max="3333" width="7" style="241" customWidth="1"/>
    <col min="3334" max="3334" width="4" style="241" customWidth="1"/>
    <col min="3335" max="3335" width="9.33203125" style="241" customWidth="1"/>
    <col min="3336" max="3336" width="8.88671875" style="241" customWidth="1"/>
    <col min="3337" max="3337" width="8.44140625" style="241" customWidth="1"/>
    <col min="3338" max="3582" width="8.88671875" style="241" customWidth="1"/>
    <col min="3583" max="3583" width="6" style="241" customWidth="1"/>
    <col min="3584" max="3584" width="32.44140625" style="241" customWidth="1"/>
    <col min="3585" max="3585" width="12.6640625" style="241" customWidth="1"/>
    <col min="3586" max="3586" width="13.44140625" style="241" customWidth="1"/>
    <col min="3587" max="3587" width="6.33203125" style="241" customWidth="1"/>
    <col min="3588" max="3588" width="6.109375" style="241" customWidth="1"/>
    <col min="3589" max="3589" width="7" style="241" customWidth="1"/>
    <col min="3590" max="3590" width="4" style="241" customWidth="1"/>
    <col min="3591" max="3591" width="9.33203125" style="241" customWidth="1"/>
    <col min="3592" max="3592" width="8.88671875" style="241" customWidth="1"/>
    <col min="3593" max="3593" width="8.44140625" style="241" customWidth="1"/>
    <col min="3594" max="3838" width="8.88671875" style="241" customWidth="1"/>
    <col min="3839" max="3839" width="6" style="241" customWidth="1"/>
    <col min="3840" max="3840" width="32.44140625" style="241" customWidth="1"/>
    <col min="3841" max="3841" width="12.6640625" style="241" customWidth="1"/>
    <col min="3842" max="3842" width="13.44140625" style="241" customWidth="1"/>
    <col min="3843" max="3843" width="6.33203125" style="241" customWidth="1"/>
    <col min="3844" max="3844" width="6.109375" style="241" customWidth="1"/>
    <col min="3845" max="3845" width="7" style="241" customWidth="1"/>
    <col min="3846" max="3846" width="4" style="241" customWidth="1"/>
    <col min="3847" max="3847" width="9.33203125" style="241" customWidth="1"/>
    <col min="3848" max="3848" width="8.88671875" style="241" customWidth="1"/>
    <col min="3849" max="3849" width="8.44140625" style="241" customWidth="1"/>
    <col min="3850" max="4094" width="8.88671875" style="241" customWidth="1"/>
    <col min="4095" max="4095" width="6" style="241" customWidth="1"/>
    <col min="4096" max="4096" width="32.44140625" style="241" customWidth="1"/>
    <col min="4097" max="4097" width="12.6640625" style="241" customWidth="1"/>
    <col min="4098" max="4098" width="13.44140625" style="241" customWidth="1"/>
    <col min="4099" max="4099" width="6.33203125" style="241" customWidth="1"/>
    <col min="4100" max="4100" width="6.109375" style="241" customWidth="1"/>
    <col min="4101" max="4101" width="7" style="241" customWidth="1"/>
    <col min="4102" max="4102" width="4" style="241" customWidth="1"/>
    <col min="4103" max="4103" width="9.33203125" style="241" customWidth="1"/>
    <col min="4104" max="4104" width="8.88671875" style="241" customWidth="1"/>
    <col min="4105" max="4105" width="8.44140625" style="241" customWidth="1"/>
    <col min="4106" max="4350" width="8.88671875" style="241" customWidth="1"/>
    <col min="4351" max="4351" width="6" style="241" customWidth="1"/>
    <col min="4352" max="4352" width="32.44140625" style="241" customWidth="1"/>
    <col min="4353" max="4353" width="12.6640625" style="241" customWidth="1"/>
    <col min="4354" max="4354" width="13.44140625" style="241" customWidth="1"/>
    <col min="4355" max="4355" width="6.33203125" style="241" customWidth="1"/>
    <col min="4356" max="4356" width="6.109375" style="241" customWidth="1"/>
    <col min="4357" max="4357" width="7" style="241" customWidth="1"/>
    <col min="4358" max="4358" width="4" style="241" customWidth="1"/>
    <col min="4359" max="4359" width="9.33203125" style="241" customWidth="1"/>
    <col min="4360" max="4360" width="8.88671875" style="241" customWidth="1"/>
    <col min="4361" max="4361" width="8.44140625" style="241" customWidth="1"/>
    <col min="4362" max="4606" width="8.88671875" style="241" customWidth="1"/>
    <col min="4607" max="4607" width="6" style="241" customWidth="1"/>
    <col min="4608" max="4608" width="32.44140625" style="241" customWidth="1"/>
    <col min="4609" max="4609" width="12.6640625" style="241" customWidth="1"/>
    <col min="4610" max="4610" width="13.44140625" style="241" customWidth="1"/>
    <col min="4611" max="4611" width="6.33203125" style="241" customWidth="1"/>
    <col min="4612" max="4612" width="6.109375" style="241" customWidth="1"/>
    <col min="4613" max="4613" width="7" style="241" customWidth="1"/>
    <col min="4614" max="4614" width="4" style="241" customWidth="1"/>
    <col min="4615" max="4615" width="9.33203125" style="241" customWidth="1"/>
    <col min="4616" max="4616" width="8.88671875" style="241" customWidth="1"/>
    <col min="4617" max="4617" width="8.44140625" style="241" customWidth="1"/>
    <col min="4618" max="4862" width="8.88671875" style="241" customWidth="1"/>
    <col min="4863" max="4863" width="6" style="241" customWidth="1"/>
    <col min="4864" max="4864" width="32.44140625" style="241" customWidth="1"/>
    <col min="4865" max="4865" width="12.6640625" style="241" customWidth="1"/>
    <col min="4866" max="4866" width="13.44140625" style="241" customWidth="1"/>
    <col min="4867" max="4867" width="6.33203125" style="241" customWidth="1"/>
    <col min="4868" max="4868" width="6.109375" style="241" customWidth="1"/>
    <col min="4869" max="4869" width="7" style="241" customWidth="1"/>
    <col min="4870" max="4870" width="4" style="241" customWidth="1"/>
    <col min="4871" max="4871" width="9.33203125" style="241" customWidth="1"/>
    <col min="4872" max="4872" width="8.88671875" style="241" customWidth="1"/>
    <col min="4873" max="4873" width="8.44140625" style="241" customWidth="1"/>
    <col min="4874" max="5118" width="8.88671875" style="241" customWidth="1"/>
    <col min="5119" max="5119" width="6" style="241" customWidth="1"/>
    <col min="5120" max="5120" width="32.44140625" style="241" customWidth="1"/>
    <col min="5121" max="5121" width="12.6640625" style="241" customWidth="1"/>
    <col min="5122" max="5122" width="13.44140625" style="241" customWidth="1"/>
    <col min="5123" max="5123" width="6.33203125" style="241" customWidth="1"/>
    <col min="5124" max="5124" width="6.109375" style="241" customWidth="1"/>
    <col min="5125" max="5125" width="7" style="241" customWidth="1"/>
    <col min="5126" max="5126" width="4" style="241" customWidth="1"/>
    <col min="5127" max="5127" width="9.33203125" style="241" customWidth="1"/>
    <col min="5128" max="5128" width="8.88671875" style="241" customWidth="1"/>
    <col min="5129" max="5129" width="8.44140625" style="241" customWidth="1"/>
    <col min="5130" max="5374" width="8.88671875" style="241" customWidth="1"/>
    <col min="5375" max="5375" width="6" style="241" customWidth="1"/>
    <col min="5376" max="5376" width="32.44140625" style="241" customWidth="1"/>
    <col min="5377" max="5377" width="12.6640625" style="241" customWidth="1"/>
    <col min="5378" max="5378" width="13.44140625" style="241" customWidth="1"/>
    <col min="5379" max="5379" width="6.33203125" style="241" customWidth="1"/>
    <col min="5380" max="5380" width="6.109375" style="241" customWidth="1"/>
    <col min="5381" max="5381" width="7" style="241" customWidth="1"/>
    <col min="5382" max="5382" width="4" style="241" customWidth="1"/>
    <col min="5383" max="5383" width="9.33203125" style="241" customWidth="1"/>
    <col min="5384" max="5384" width="8.88671875" style="241" customWidth="1"/>
    <col min="5385" max="5385" width="8.44140625" style="241" customWidth="1"/>
    <col min="5386" max="5630" width="8.88671875" style="241" customWidth="1"/>
    <col min="5631" max="5631" width="6" style="241" customWidth="1"/>
    <col min="5632" max="5632" width="32.44140625" style="241" customWidth="1"/>
    <col min="5633" max="5633" width="12.6640625" style="241" customWidth="1"/>
    <col min="5634" max="5634" width="13.44140625" style="241" customWidth="1"/>
    <col min="5635" max="5635" width="6.33203125" style="241" customWidth="1"/>
    <col min="5636" max="5636" width="6.109375" style="241" customWidth="1"/>
    <col min="5637" max="5637" width="7" style="241" customWidth="1"/>
    <col min="5638" max="5638" width="4" style="241" customWidth="1"/>
    <col min="5639" max="5639" width="9.33203125" style="241" customWidth="1"/>
    <col min="5640" max="5640" width="8.88671875" style="241" customWidth="1"/>
    <col min="5641" max="5641" width="8.44140625" style="241" customWidth="1"/>
    <col min="5642" max="5886" width="8.88671875" style="241" customWidth="1"/>
    <col min="5887" max="5887" width="6" style="241" customWidth="1"/>
    <col min="5888" max="5888" width="32.44140625" style="241" customWidth="1"/>
    <col min="5889" max="5889" width="12.6640625" style="241" customWidth="1"/>
    <col min="5890" max="5890" width="13.44140625" style="241" customWidth="1"/>
    <col min="5891" max="5891" width="6.33203125" style="241" customWidth="1"/>
    <col min="5892" max="5892" width="6.109375" style="241" customWidth="1"/>
    <col min="5893" max="5893" width="7" style="241" customWidth="1"/>
    <col min="5894" max="5894" width="4" style="241" customWidth="1"/>
    <col min="5895" max="5895" width="9.33203125" style="241" customWidth="1"/>
    <col min="5896" max="5896" width="8.88671875" style="241" customWidth="1"/>
    <col min="5897" max="5897" width="8.44140625" style="241" customWidth="1"/>
    <col min="5898" max="6142" width="8.88671875" style="241" customWidth="1"/>
    <col min="6143" max="6143" width="6" style="241" customWidth="1"/>
    <col min="6144" max="6144" width="32.44140625" style="241" customWidth="1"/>
    <col min="6145" max="6145" width="12.6640625" style="241" customWidth="1"/>
    <col min="6146" max="6146" width="13.44140625" style="241" customWidth="1"/>
    <col min="6147" max="6147" width="6.33203125" style="241" customWidth="1"/>
    <col min="6148" max="6148" width="6.109375" style="241" customWidth="1"/>
    <col min="6149" max="6149" width="7" style="241" customWidth="1"/>
    <col min="6150" max="6150" width="4" style="241" customWidth="1"/>
    <col min="6151" max="6151" width="9.33203125" style="241" customWidth="1"/>
    <col min="6152" max="6152" width="8.88671875" style="241" customWidth="1"/>
    <col min="6153" max="6153" width="8.44140625" style="241" customWidth="1"/>
    <col min="6154" max="6398" width="8.88671875" style="241" customWidth="1"/>
    <col min="6399" max="6399" width="6" style="241" customWidth="1"/>
    <col min="6400" max="6400" width="32.44140625" style="241" customWidth="1"/>
    <col min="6401" max="6401" width="12.6640625" style="241" customWidth="1"/>
    <col min="6402" max="6402" width="13.44140625" style="241" customWidth="1"/>
    <col min="6403" max="6403" width="6.33203125" style="241" customWidth="1"/>
    <col min="6404" max="6404" width="6.109375" style="241" customWidth="1"/>
    <col min="6405" max="6405" width="7" style="241" customWidth="1"/>
    <col min="6406" max="6406" width="4" style="241" customWidth="1"/>
    <col min="6407" max="6407" width="9.33203125" style="241" customWidth="1"/>
    <col min="6408" max="6408" width="8.88671875" style="241" customWidth="1"/>
    <col min="6409" max="6409" width="8.44140625" style="241" customWidth="1"/>
    <col min="6410" max="6654" width="8.88671875" style="241" customWidth="1"/>
    <col min="6655" max="6655" width="6" style="241" customWidth="1"/>
    <col min="6656" max="6656" width="32.44140625" style="241" customWidth="1"/>
    <col min="6657" max="6657" width="12.6640625" style="241" customWidth="1"/>
    <col min="6658" max="6658" width="13.44140625" style="241" customWidth="1"/>
    <col min="6659" max="6659" width="6.33203125" style="241" customWidth="1"/>
    <col min="6660" max="6660" width="6.109375" style="241" customWidth="1"/>
    <col min="6661" max="6661" width="7" style="241" customWidth="1"/>
    <col min="6662" max="6662" width="4" style="241" customWidth="1"/>
    <col min="6663" max="6663" width="9.33203125" style="241" customWidth="1"/>
    <col min="6664" max="6664" width="8.88671875" style="241" customWidth="1"/>
    <col min="6665" max="6665" width="8.44140625" style="241" customWidth="1"/>
    <col min="6666" max="6910" width="8.88671875" style="241" customWidth="1"/>
    <col min="6911" max="6911" width="6" style="241" customWidth="1"/>
    <col min="6912" max="6912" width="32.44140625" style="241" customWidth="1"/>
    <col min="6913" max="6913" width="12.6640625" style="241" customWidth="1"/>
    <col min="6914" max="6914" width="13.44140625" style="241" customWidth="1"/>
    <col min="6915" max="6915" width="6.33203125" style="241" customWidth="1"/>
    <col min="6916" max="6916" width="6.109375" style="241" customWidth="1"/>
    <col min="6917" max="6917" width="7" style="241" customWidth="1"/>
    <col min="6918" max="6918" width="4" style="241" customWidth="1"/>
    <col min="6919" max="6919" width="9.33203125" style="241" customWidth="1"/>
    <col min="6920" max="6920" width="8.88671875" style="241" customWidth="1"/>
    <col min="6921" max="6921" width="8.44140625" style="241" customWidth="1"/>
    <col min="6922" max="7166" width="8.88671875" style="241" customWidth="1"/>
    <col min="7167" max="7167" width="6" style="241" customWidth="1"/>
    <col min="7168" max="7168" width="32.44140625" style="241" customWidth="1"/>
    <col min="7169" max="7169" width="12.6640625" style="241" customWidth="1"/>
    <col min="7170" max="7170" width="13.44140625" style="241" customWidth="1"/>
    <col min="7171" max="7171" width="6.33203125" style="241" customWidth="1"/>
    <col min="7172" max="7172" width="6.109375" style="241" customWidth="1"/>
    <col min="7173" max="7173" width="7" style="241" customWidth="1"/>
    <col min="7174" max="7174" width="4" style="241" customWidth="1"/>
    <col min="7175" max="7175" width="9.33203125" style="241" customWidth="1"/>
    <col min="7176" max="7176" width="8.88671875" style="241" customWidth="1"/>
    <col min="7177" max="7177" width="8.44140625" style="241" customWidth="1"/>
    <col min="7178" max="7422" width="8.88671875" style="241" customWidth="1"/>
    <col min="7423" max="7423" width="6" style="241" customWidth="1"/>
    <col min="7424" max="7424" width="32.44140625" style="241" customWidth="1"/>
    <col min="7425" max="7425" width="12.6640625" style="241" customWidth="1"/>
    <col min="7426" max="7426" width="13.44140625" style="241" customWidth="1"/>
    <col min="7427" max="7427" width="6.33203125" style="241" customWidth="1"/>
    <col min="7428" max="7428" width="6.109375" style="241" customWidth="1"/>
    <col min="7429" max="7429" width="7" style="241" customWidth="1"/>
    <col min="7430" max="7430" width="4" style="241" customWidth="1"/>
    <col min="7431" max="7431" width="9.33203125" style="241" customWidth="1"/>
    <col min="7432" max="7432" width="8.88671875" style="241" customWidth="1"/>
    <col min="7433" max="7433" width="8.44140625" style="241" customWidth="1"/>
    <col min="7434" max="7678" width="8.88671875" style="241" customWidth="1"/>
    <col min="7679" max="7679" width="6" style="241" customWidth="1"/>
    <col min="7680" max="7680" width="32.44140625" style="241" customWidth="1"/>
    <col min="7681" max="7681" width="12.6640625" style="241" customWidth="1"/>
    <col min="7682" max="7682" width="13.44140625" style="241" customWidth="1"/>
    <col min="7683" max="7683" width="6.33203125" style="241" customWidth="1"/>
    <col min="7684" max="7684" width="6.109375" style="241" customWidth="1"/>
    <col min="7685" max="7685" width="7" style="241" customWidth="1"/>
    <col min="7686" max="7686" width="4" style="241" customWidth="1"/>
    <col min="7687" max="7687" width="9.33203125" style="241" customWidth="1"/>
    <col min="7688" max="7688" width="8.88671875" style="241" customWidth="1"/>
    <col min="7689" max="7689" width="8.44140625" style="241" customWidth="1"/>
    <col min="7690" max="7934" width="8.88671875" style="241" customWidth="1"/>
    <col min="7935" max="7935" width="6" style="241" customWidth="1"/>
    <col min="7936" max="7936" width="32.44140625" style="241" customWidth="1"/>
    <col min="7937" max="7937" width="12.6640625" style="241" customWidth="1"/>
    <col min="7938" max="7938" width="13.44140625" style="241" customWidth="1"/>
    <col min="7939" max="7939" width="6.33203125" style="241" customWidth="1"/>
    <col min="7940" max="7940" width="6.109375" style="241" customWidth="1"/>
    <col min="7941" max="7941" width="7" style="241" customWidth="1"/>
    <col min="7942" max="7942" width="4" style="241" customWidth="1"/>
    <col min="7943" max="7943" width="9.33203125" style="241" customWidth="1"/>
    <col min="7944" max="7944" width="8.88671875" style="241" customWidth="1"/>
    <col min="7945" max="7945" width="8.44140625" style="241" customWidth="1"/>
    <col min="7946" max="8190" width="8.88671875" style="241" customWidth="1"/>
    <col min="8191" max="8191" width="6" style="241" customWidth="1"/>
    <col min="8192" max="8192" width="32.44140625" style="241" customWidth="1"/>
    <col min="8193" max="8193" width="12.6640625" style="241" customWidth="1"/>
    <col min="8194" max="8194" width="13.44140625" style="241" customWidth="1"/>
    <col min="8195" max="8195" width="6.33203125" style="241" customWidth="1"/>
    <col min="8196" max="8196" width="6.109375" style="241" customWidth="1"/>
    <col min="8197" max="8197" width="7" style="241" customWidth="1"/>
    <col min="8198" max="8198" width="4" style="241" customWidth="1"/>
    <col min="8199" max="8199" width="9.33203125" style="241" customWidth="1"/>
    <col min="8200" max="8200" width="8.88671875" style="241" customWidth="1"/>
    <col min="8201" max="8201" width="8.44140625" style="241" customWidth="1"/>
    <col min="8202" max="8446" width="8.88671875" style="241" customWidth="1"/>
    <col min="8447" max="8447" width="6" style="241" customWidth="1"/>
    <col min="8448" max="8448" width="32.44140625" style="241" customWidth="1"/>
    <col min="8449" max="8449" width="12.6640625" style="241" customWidth="1"/>
    <col min="8450" max="8450" width="13.44140625" style="241" customWidth="1"/>
    <col min="8451" max="8451" width="6.33203125" style="241" customWidth="1"/>
    <col min="8452" max="8452" width="6.109375" style="241" customWidth="1"/>
    <col min="8453" max="8453" width="7" style="241" customWidth="1"/>
    <col min="8454" max="8454" width="4" style="241" customWidth="1"/>
    <col min="8455" max="8455" width="9.33203125" style="241" customWidth="1"/>
    <col min="8456" max="8456" width="8.88671875" style="241" customWidth="1"/>
    <col min="8457" max="8457" width="8.44140625" style="241" customWidth="1"/>
    <col min="8458" max="8702" width="8.88671875" style="241" customWidth="1"/>
    <col min="8703" max="8703" width="6" style="241" customWidth="1"/>
    <col min="8704" max="8704" width="32.44140625" style="241" customWidth="1"/>
    <col min="8705" max="8705" width="12.6640625" style="241" customWidth="1"/>
    <col min="8706" max="8706" width="13.44140625" style="241" customWidth="1"/>
    <col min="8707" max="8707" width="6.33203125" style="241" customWidth="1"/>
    <col min="8708" max="8708" width="6.109375" style="241" customWidth="1"/>
    <col min="8709" max="8709" width="7" style="241" customWidth="1"/>
    <col min="8710" max="8710" width="4" style="241" customWidth="1"/>
    <col min="8711" max="8711" width="9.33203125" style="241" customWidth="1"/>
    <col min="8712" max="8712" width="8.88671875" style="241" customWidth="1"/>
    <col min="8713" max="8713" width="8.44140625" style="241" customWidth="1"/>
    <col min="8714" max="8958" width="8.88671875" style="241" customWidth="1"/>
    <col min="8959" max="8959" width="6" style="241" customWidth="1"/>
    <col min="8960" max="8960" width="32.44140625" style="241" customWidth="1"/>
    <col min="8961" max="8961" width="12.6640625" style="241" customWidth="1"/>
    <col min="8962" max="8962" width="13.44140625" style="241" customWidth="1"/>
    <col min="8963" max="8963" width="6.33203125" style="241" customWidth="1"/>
    <col min="8964" max="8964" width="6.109375" style="241" customWidth="1"/>
    <col min="8965" max="8965" width="7" style="241" customWidth="1"/>
    <col min="8966" max="8966" width="4" style="241" customWidth="1"/>
    <col min="8967" max="8967" width="9.33203125" style="241" customWidth="1"/>
    <col min="8968" max="8968" width="8.88671875" style="241" customWidth="1"/>
    <col min="8969" max="8969" width="8.44140625" style="241" customWidth="1"/>
    <col min="8970" max="9214" width="8.88671875" style="241" customWidth="1"/>
    <col min="9215" max="9215" width="6" style="241" customWidth="1"/>
    <col min="9216" max="9216" width="32.44140625" style="241" customWidth="1"/>
    <col min="9217" max="9217" width="12.6640625" style="241" customWidth="1"/>
    <col min="9218" max="9218" width="13.44140625" style="241" customWidth="1"/>
    <col min="9219" max="9219" width="6.33203125" style="241" customWidth="1"/>
    <col min="9220" max="9220" width="6.109375" style="241" customWidth="1"/>
    <col min="9221" max="9221" width="7" style="241" customWidth="1"/>
    <col min="9222" max="9222" width="4" style="241" customWidth="1"/>
    <col min="9223" max="9223" width="9.33203125" style="241" customWidth="1"/>
    <col min="9224" max="9224" width="8.88671875" style="241" customWidth="1"/>
    <col min="9225" max="9225" width="8.44140625" style="241" customWidth="1"/>
    <col min="9226" max="9470" width="8.88671875" style="241" customWidth="1"/>
    <col min="9471" max="9471" width="6" style="241" customWidth="1"/>
    <col min="9472" max="9472" width="32.44140625" style="241" customWidth="1"/>
    <col min="9473" max="9473" width="12.6640625" style="241" customWidth="1"/>
    <col min="9474" max="9474" width="13.44140625" style="241" customWidth="1"/>
    <col min="9475" max="9475" width="6.33203125" style="241" customWidth="1"/>
    <col min="9476" max="9476" width="6.109375" style="241" customWidth="1"/>
    <col min="9477" max="9477" width="7" style="241" customWidth="1"/>
    <col min="9478" max="9478" width="4" style="241" customWidth="1"/>
    <col min="9479" max="9479" width="9.33203125" style="241" customWidth="1"/>
    <col min="9480" max="9480" width="8.88671875" style="241" customWidth="1"/>
    <col min="9481" max="9481" width="8.44140625" style="241" customWidth="1"/>
    <col min="9482" max="9726" width="8.88671875" style="241" customWidth="1"/>
    <col min="9727" max="9727" width="6" style="241" customWidth="1"/>
    <col min="9728" max="9728" width="32.44140625" style="241" customWidth="1"/>
    <col min="9729" max="9729" width="12.6640625" style="241" customWidth="1"/>
    <col min="9730" max="9730" width="13.44140625" style="241" customWidth="1"/>
    <col min="9731" max="9731" width="6.33203125" style="241" customWidth="1"/>
    <col min="9732" max="9732" width="6.109375" style="241" customWidth="1"/>
    <col min="9733" max="9733" width="7" style="241" customWidth="1"/>
    <col min="9734" max="9734" width="4" style="241" customWidth="1"/>
    <col min="9735" max="9735" width="9.33203125" style="241" customWidth="1"/>
    <col min="9736" max="9736" width="8.88671875" style="241" customWidth="1"/>
    <col min="9737" max="9737" width="8.44140625" style="241" customWidth="1"/>
    <col min="9738" max="9982" width="8.88671875" style="241" customWidth="1"/>
    <col min="9983" max="9983" width="6" style="241" customWidth="1"/>
    <col min="9984" max="9984" width="32.44140625" style="241" customWidth="1"/>
    <col min="9985" max="9985" width="12.6640625" style="241" customWidth="1"/>
    <col min="9986" max="9986" width="13.44140625" style="241" customWidth="1"/>
    <col min="9987" max="9987" width="6.33203125" style="241" customWidth="1"/>
    <col min="9988" max="9988" width="6.109375" style="241" customWidth="1"/>
    <col min="9989" max="9989" width="7" style="241" customWidth="1"/>
    <col min="9990" max="9990" width="4" style="241" customWidth="1"/>
    <col min="9991" max="9991" width="9.33203125" style="241" customWidth="1"/>
    <col min="9992" max="9992" width="8.88671875" style="241" customWidth="1"/>
    <col min="9993" max="9993" width="8.44140625" style="241" customWidth="1"/>
    <col min="9994" max="10238" width="8.88671875" style="241" customWidth="1"/>
    <col min="10239" max="10239" width="6" style="241" customWidth="1"/>
    <col min="10240" max="10240" width="32.44140625" style="241" customWidth="1"/>
    <col min="10241" max="10241" width="12.6640625" style="241" customWidth="1"/>
    <col min="10242" max="10242" width="13.44140625" style="241" customWidth="1"/>
    <col min="10243" max="10243" width="6.33203125" style="241" customWidth="1"/>
    <col min="10244" max="10244" width="6.109375" style="241" customWidth="1"/>
    <col min="10245" max="10245" width="7" style="241" customWidth="1"/>
    <col min="10246" max="10246" width="4" style="241" customWidth="1"/>
    <col min="10247" max="10247" width="9.33203125" style="241" customWidth="1"/>
    <col min="10248" max="10248" width="8.88671875" style="241" customWidth="1"/>
    <col min="10249" max="10249" width="8.44140625" style="241" customWidth="1"/>
    <col min="10250" max="10494" width="8.88671875" style="241" customWidth="1"/>
    <col min="10495" max="10495" width="6" style="241" customWidth="1"/>
    <col min="10496" max="10496" width="32.44140625" style="241" customWidth="1"/>
    <col min="10497" max="10497" width="12.6640625" style="241" customWidth="1"/>
    <col min="10498" max="10498" width="13.44140625" style="241" customWidth="1"/>
    <col min="10499" max="10499" width="6.33203125" style="241" customWidth="1"/>
    <col min="10500" max="10500" width="6.109375" style="241" customWidth="1"/>
    <col min="10501" max="10501" width="7" style="241" customWidth="1"/>
    <col min="10502" max="10502" width="4" style="241" customWidth="1"/>
    <col min="10503" max="10503" width="9.33203125" style="241" customWidth="1"/>
    <col min="10504" max="10504" width="8.88671875" style="241" customWidth="1"/>
    <col min="10505" max="10505" width="8.44140625" style="241" customWidth="1"/>
    <col min="10506" max="10750" width="8.88671875" style="241" customWidth="1"/>
    <col min="10751" max="10751" width="6" style="241" customWidth="1"/>
    <col min="10752" max="10752" width="32.44140625" style="241" customWidth="1"/>
    <col min="10753" max="10753" width="12.6640625" style="241" customWidth="1"/>
    <col min="10754" max="10754" width="13.44140625" style="241" customWidth="1"/>
    <col min="10755" max="10755" width="6.33203125" style="241" customWidth="1"/>
    <col min="10756" max="10756" width="6.109375" style="241" customWidth="1"/>
    <col min="10757" max="10757" width="7" style="241" customWidth="1"/>
    <col min="10758" max="10758" width="4" style="241" customWidth="1"/>
    <col min="10759" max="10759" width="9.33203125" style="241" customWidth="1"/>
    <col min="10760" max="10760" width="8.88671875" style="241" customWidth="1"/>
    <col min="10761" max="10761" width="8.44140625" style="241" customWidth="1"/>
    <col min="10762" max="11006" width="8.88671875" style="241" customWidth="1"/>
    <col min="11007" max="11007" width="6" style="241" customWidth="1"/>
    <col min="11008" max="11008" width="32.44140625" style="241" customWidth="1"/>
    <col min="11009" max="11009" width="12.6640625" style="241" customWidth="1"/>
    <col min="11010" max="11010" width="13.44140625" style="241" customWidth="1"/>
    <col min="11011" max="11011" width="6.33203125" style="241" customWidth="1"/>
    <col min="11012" max="11012" width="6.109375" style="241" customWidth="1"/>
    <col min="11013" max="11013" width="7" style="241" customWidth="1"/>
    <col min="11014" max="11014" width="4" style="241" customWidth="1"/>
    <col min="11015" max="11015" width="9.33203125" style="241" customWidth="1"/>
    <col min="11016" max="11016" width="8.88671875" style="241" customWidth="1"/>
    <col min="11017" max="11017" width="8.44140625" style="241" customWidth="1"/>
    <col min="11018" max="11262" width="8.88671875" style="241" customWidth="1"/>
    <col min="11263" max="11263" width="6" style="241" customWidth="1"/>
    <col min="11264" max="11264" width="32.44140625" style="241" customWidth="1"/>
    <col min="11265" max="11265" width="12.6640625" style="241" customWidth="1"/>
    <col min="11266" max="11266" width="13.44140625" style="241" customWidth="1"/>
    <col min="11267" max="11267" width="6.33203125" style="241" customWidth="1"/>
    <col min="11268" max="11268" width="6.109375" style="241" customWidth="1"/>
    <col min="11269" max="11269" width="7" style="241" customWidth="1"/>
    <col min="11270" max="11270" width="4" style="241" customWidth="1"/>
    <col min="11271" max="11271" width="9.33203125" style="241" customWidth="1"/>
    <col min="11272" max="11272" width="8.88671875" style="241" customWidth="1"/>
    <col min="11273" max="11273" width="8.44140625" style="241" customWidth="1"/>
    <col min="11274" max="11518" width="8.88671875" style="241" customWidth="1"/>
    <col min="11519" max="11519" width="6" style="241" customWidth="1"/>
    <col min="11520" max="11520" width="32.44140625" style="241" customWidth="1"/>
    <col min="11521" max="11521" width="12.6640625" style="241" customWidth="1"/>
    <col min="11522" max="11522" width="13.44140625" style="241" customWidth="1"/>
    <col min="11523" max="11523" width="6.33203125" style="241" customWidth="1"/>
    <col min="11524" max="11524" width="6.109375" style="241" customWidth="1"/>
    <col min="11525" max="11525" width="7" style="241" customWidth="1"/>
    <col min="11526" max="11526" width="4" style="241" customWidth="1"/>
    <col min="11527" max="11527" width="9.33203125" style="241" customWidth="1"/>
    <col min="11528" max="11528" width="8.88671875" style="241" customWidth="1"/>
    <col min="11529" max="11529" width="8.44140625" style="241" customWidth="1"/>
    <col min="11530" max="11774" width="8.88671875" style="241" customWidth="1"/>
    <col min="11775" max="11775" width="6" style="241" customWidth="1"/>
    <col min="11776" max="11776" width="32.44140625" style="241" customWidth="1"/>
    <col min="11777" max="11777" width="12.6640625" style="241" customWidth="1"/>
    <col min="11778" max="11778" width="13.44140625" style="241" customWidth="1"/>
    <col min="11779" max="11779" width="6.33203125" style="241" customWidth="1"/>
    <col min="11780" max="11780" width="6.109375" style="241" customWidth="1"/>
    <col min="11781" max="11781" width="7" style="241" customWidth="1"/>
    <col min="11782" max="11782" width="4" style="241" customWidth="1"/>
    <col min="11783" max="11783" width="9.33203125" style="241" customWidth="1"/>
    <col min="11784" max="11784" width="8.88671875" style="241" customWidth="1"/>
    <col min="11785" max="11785" width="8.44140625" style="241" customWidth="1"/>
    <col min="11786" max="12030" width="8.88671875" style="241" customWidth="1"/>
    <col min="12031" max="12031" width="6" style="241" customWidth="1"/>
    <col min="12032" max="12032" width="32.44140625" style="241" customWidth="1"/>
    <col min="12033" max="12033" width="12.6640625" style="241" customWidth="1"/>
    <col min="12034" max="12034" width="13.44140625" style="241" customWidth="1"/>
    <col min="12035" max="12035" width="6.33203125" style="241" customWidth="1"/>
    <col min="12036" max="12036" width="6.109375" style="241" customWidth="1"/>
    <col min="12037" max="12037" width="7" style="241" customWidth="1"/>
    <col min="12038" max="12038" width="4" style="241" customWidth="1"/>
    <col min="12039" max="12039" width="9.33203125" style="241" customWidth="1"/>
    <col min="12040" max="12040" width="8.88671875" style="241" customWidth="1"/>
    <col min="12041" max="12041" width="8.44140625" style="241" customWidth="1"/>
    <col min="12042" max="12286" width="8.88671875" style="241" customWidth="1"/>
    <col min="12287" max="12287" width="6" style="241" customWidth="1"/>
    <col min="12288" max="12288" width="32.44140625" style="241" customWidth="1"/>
    <col min="12289" max="12289" width="12.6640625" style="241" customWidth="1"/>
    <col min="12290" max="12290" width="13.44140625" style="241" customWidth="1"/>
    <col min="12291" max="12291" width="6.33203125" style="241" customWidth="1"/>
    <col min="12292" max="12292" width="6.109375" style="241" customWidth="1"/>
    <col min="12293" max="12293" width="7" style="241" customWidth="1"/>
    <col min="12294" max="12294" width="4" style="241" customWidth="1"/>
    <col min="12295" max="12295" width="9.33203125" style="241" customWidth="1"/>
    <col min="12296" max="12296" width="8.88671875" style="241" customWidth="1"/>
    <col min="12297" max="12297" width="8.44140625" style="241" customWidth="1"/>
    <col min="12298" max="12542" width="8.88671875" style="241" customWidth="1"/>
    <col min="12543" max="12543" width="6" style="241" customWidth="1"/>
    <col min="12544" max="12544" width="32.44140625" style="241" customWidth="1"/>
    <col min="12545" max="12545" width="12.6640625" style="241" customWidth="1"/>
    <col min="12546" max="12546" width="13.44140625" style="241" customWidth="1"/>
    <col min="12547" max="12547" width="6.33203125" style="241" customWidth="1"/>
    <col min="12548" max="12548" width="6.109375" style="241" customWidth="1"/>
    <col min="12549" max="12549" width="7" style="241" customWidth="1"/>
    <col min="12550" max="12550" width="4" style="241" customWidth="1"/>
    <col min="12551" max="12551" width="9.33203125" style="241" customWidth="1"/>
    <col min="12552" max="12552" width="8.88671875" style="241" customWidth="1"/>
    <col min="12553" max="12553" width="8.44140625" style="241" customWidth="1"/>
    <col min="12554" max="12798" width="8.88671875" style="241" customWidth="1"/>
    <col min="12799" max="12799" width="6" style="241" customWidth="1"/>
    <col min="12800" max="12800" width="32.44140625" style="241" customWidth="1"/>
    <col min="12801" max="12801" width="12.6640625" style="241" customWidth="1"/>
    <col min="12802" max="12802" width="13.44140625" style="241" customWidth="1"/>
    <col min="12803" max="12803" width="6.33203125" style="241" customWidth="1"/>
    <col min="12804" max="12804" width="6.109375" style="241" customWidth="1"/>
    <col min="12805" max="12805" width="7" style="241" customWidth="1"/>
    <col min="12806" max="12806" width="4" style="241" customWidth="1"/>
    <col min="12807" max="12807" width="9.33203125" style="241" customWidth="1"/>
    <col min="12808" max="12808" width="8.88671875" style="241" customWidth="1"/>
    <col min="12809" max="12809" width="8.44140625" style="241" customWidth="1"/>
    <col min="12810" max="13054" width="8.88671875" style="241" customWidth="1"/>
    <col min="13055" max="13055" width="6" style="241" customWidth="1"/>
    <col min="13056" max="13056" width="32.44140625" style="241" customWidth="1"/>
    <col min="13057" max="13057" width="12.6640625" style="241" customWidth="1"/>
    <col min="13058" max="13058" width="13.44140625" style="241" customWidth="1"/>
    <col min="13059" max="13059" width="6.33203125" style="241" customWidth="1"/>
    <col min="13060" max="13060" width="6.109375" style="241" customWidth="1"/>
    <col min="13061" max="13061" width="7" style="241" customWidth="1"/>
    <col min="13062" max="13062" width="4" style="241" customWidth="1"/>
    <col min="13063" max="13063" width="9.33203125" style="241" customWidth="1"/>
    <col min="13064" max="13064" width="8.88671875" style="241" customWidth="1"/>
    <col min="13065" max="13065" width="8.44140625" style="241" customWidth="1"/>
    <col min="13066" max="13310" width="8.88671875" style="241" customWidth="1"/>
    <col min="13311" max="13311" width="6" style="241" customWidth="1"/>
    <col min="13312" max="13312" width="32.44140625" style="241" customWidth="1"/>
    <col min="13313" max="13313" width="12.6640625" style="241" customWidth="1"/>
    <col min="13314" max="13314" width="13.44140625" style="241" customWidth="1"/>
    <col min="13315" max="13315" width="6.33203125" style="241" customWidth="1"/>
    <col min="13316" max="13316" width="6.109375" style="241" customWidth="1"/>
    <col min="13317" max="13317" width="7" style="241" customWidth="1"/>
    <col min="13318" max="13318" width="4" style="241" customWidth="1"/>
    <col min="13319" max="13319" width="9.33203125" style="241" customWidth="1"/>
    <col min="13320" max="13320" width="8.88671875" style="241" customWidth="1"/>
    <col min="13321" max="13321" width="8.44140625" style="241" customWidth="1"/>
    <col min="13322" max="13566" width="8.88671875" style="241" customWidth="1"/>
    <col min="13567" max="13567" width="6" style="241" customWidth="1"/>
    <col min="13568" max="13568" width="32.44140625" style="241" customWidth="1"/>
    <col min="13569" max="13569" width="12.6640625" style="241" customWidth="1"/>
    <col min="13570" max="13570" width="13.44140625" style="241" customWidth="1"/>
    <col min="13571" max="13571" width="6.33203125" style="241" customWidth="1"/>
    <col min="13572" max="13572" width="6.109375" style="241" customWidth="1"/>
    <col min="13573" max="13573" width="7" style="241" customWidth="1"/>
    <col min="13574" max="13574" width="4" style="241" customWidth="1"/>
    <col min="13575" max="13575" width="9.33203125" style="241" customWidth="1"/>
    <col min="13576" max="13576" width="8.88671875" style="241" customWidth="1"/>
    <col min="13577" max="13577" width="8.44140625" style="241" customWidth="1"/>
    <col min="13578" max="13822" width="8.88671875" style="241" customWidth="1"/>
    <col min="13823" max="13823" width="6" style="241" customWidth="1"/>
    <col min="13824" max="13824" width="32.44140625" style="241" customWidth="1"/>
    <col min="13825" max="13825" width="12.6640625" style="241" customWidth="1"/>
    <col min="13826" max="13826" width="13.44140625" style="241" customWidth="1"/>
    <col min="13827" max="13827" width="6.33203125" style="241" customWidth="1"/>
    <col min="13828" max="13828" width="6.109375" style="241" customWidth="1"/>
    <col min="13829" max="13829" width="7" style="241" customWidth="1"/>
    <col min="13830" max="13830" width="4" style="241" customWidth="1"/>
    <col min="13831" max="13831" width="9.33203125" style="241" customWidth="1"/>
    <col min="13832" max="13832" width="8.88671875" style="241" customWidth="1"/>
    <col min="13833" max="13833" width="8.44140625" style="241" customWidth="1"/>
    <col min="13834" max="14078" width="8.88671875" style="241" customWidth="1"/>
    <col min="14079" max="14079" width="6" style="241" customWidth="1"/>
    <col min="14080" max="14080" width="32.44140625" style="241" customWidth="1"/>
    <col min="14081" max="14081" width="12.6640625" style="241" customWidth="1"/>
    <col min="14082" max="14082" width="13.44140625" style="241" customWidth="1"/>
    <col min="14083" max="14083" width="6.33203125" style="241" customWidth="1"/>
    <col min="14084" max="14084" width="6.109375" style="241" customWidth="1"/>
    <col min="14085" max="14085" width="7" style="241" customWidth="1"/>
    <col min="14086" max="14086" width="4" style="241" customWidth="1"/>
    <col min="14087" max="14087" width="9.33203125" style="241" customWidth="1"/>
    <col min="14088" max="14088" width="8.88671875" style="241" customWidth="1"/>
    <col min="14089" max="14089" width="8.44140625" style="241" customWidth="1"/>
    <col min="14090" max="14334" width="8.88671875" style="241" customWidth="1"/>
    <col min="14335" max="14335" width="6" style="241" customWidth="1"/>
    <col min="14336" max="14336" width="32.44140625" style="241" customWidth="1"/>
    <col min="14337" max="14337" width="12.6640625" style="241" customWidth="1"/>
    <col min="14338" max="14338" width="13.44140625" style="241" customWidth="1"/>
    <col min="14339" max="14339" width="6.33203125" style="241" customWidth="1"/>
    <col min="14340" max="14340" width="6.109375" style="241" customWidth="1"/>
    <col min="14341" max="14341" width="7" style="241" customWidth="1"/>
    <col min="14342" max="14342" width="4" style="241" customWidth="1"/>
    <col min="14343" max="14343" width="9.33203125" style="241" customWidth="1"/>
    <col min="14344" max="14344" width="8.88671875" style="241" customWidth="1"/>
    <col min="14345" max="14345" width="8.44140625" style="241" customWidth="1"/>
    <col min="14346" max="14590" width="8.88671875" style="241" customWidth="1"/>
    <col min="14591" max="14591" width="6" style="241" customWidth="1"/>
    <col min="14592" max="14592" width="32.44140625" style="241" customWidth="1"/>
    <col min="14593" max="14593" width="12.6640625" style="241" customWidth="1"/>
    <col min="14594" max="14594" width="13.44140625" style="241" customWidth="1"/>
    <col min="14595" max="14595" width="6.33203125" style="241" customWidth="1"/>
    <col min="14596" max="14596" width="6.109375" style="241" customWidth="1"/>
    <col min="14597" max="14597" width="7" style="241" customWidth="1"/>
    <col min="14598" max="14598" width="4" style="241" customWidth="1"/>
    <col min="14599" max="14599" width="9.33203125" style="241" customWidth="1"/>
    <col min="14600" max="14600" width="8.88671875" style="241" customWidth="1"/>
    <col min="14601" max="14601" width="8.44140625" style="241" customWidth="1"/>
    <col min="14602" max="14846" width="8.88671875" style="241" customWidth="1"/>
    <col min="14847" max="14847" width="6" style="241" customWidth="1"/>
    <col min="14848" max="14848" width="32.44140625" style="241" customWidth="1"/>
    <col min="14849" max="14849" width="12.6640625" style="241" customWidth="1"/>
    <col min="14850" max="14850" width="13.44140625" style="241" customWidth="1"/>
    <col min="14851" max="14851" width="6.33203125" style="241" customWidth="1"/>
    <col min="14852" max="14852" width="6.109375" style="241" customWidth="1"/>
    <col min="14853" max="14853" width="7" style="241" customWidth="1"/>
    <col min="14854" max="14854" width="4" style="241" customWidth="1"/>
    <col min="14855" max="14855" width="9.33203125" style="241" customWidth="1"/>
    <col min="14856" max="14856" width="8.88671875" style="241" customWidth="1"/>
    <col min="14857" max="14857" width="8.44140625" style="241" customWidth="1"/>
    <col min="14858" max="15102" width="8.88671875" style="241" customWidth="1"/>
    <col min="15103" max="15103" width="6" style="241" customWidth="1"/>
    <col min="15104" max="15104" width="32.44140625" style="241" customWidth="1"/>
    <col min="15105" max="15105" width="12.6640625" style="241" customWidth="1"/>
    <col min="15106" max="15106" width="13.44140625" style="241" customWidth="1"/>
    <col min="15107" max="15107" width="6.33203125" style="241" customWidth="1"/>
    <col min="15108" max="15108" width="6.109375" style="241" customWidth="1"/>
    <col min="15109" max="15109" width="7" style="241" customWidth="1"/>
    <col min="15110" max="15110" width="4" style="241" customWidth="1"/>
    <col min="15111" max="15111" width="9.33203125" style="241" customWidth="1"/>
    <col min="15112" max="15112" width="8.88671875" style="241" customWidth="1"/>
    <col min="15113" max="15113" width="8.44140625" style="241" customWidth="1"/>
    <col min="15114" max="15358" width="8.88671875" style="241" customWidth="1"/>
    <col min="15359" max="15359" width="6" style="241" customWidth="1"/>
    <col min="15360" max="15360" width="32.44140625" style="241" customWidth="1"/>
    <col min="15361" max="15361" width="12.6640625" style="241" customWidth="1"/>
    <col min="15362" max="15362" width="13.44140625" style="241" customWidth="1"/>
    <col min="15363" max="15363" width="6.33203125" style="241" customWidth="1"/>
    <col min="15364" max="15364" width="6.109375" style="241" customWidth="1"/>
    <col min="15365" max="15365" width="7" style="241" customWidth="1"/>
    <col min="15366" max="15366" width="4" style="241" customWidth="1"/>
    <col min="15367" max="15367" width="9.33203125" style="241" customWidth="1"/>
    <col min="15368" max="15368" width="8.88671875" style="241" customWidth="1"/>
    <col min="15369" max="15369" width="8.44140625" style="241" customWidth="1"/>
    <col min="15370" max="15614" width="8.88671875" style="241" customWidth="1"/>
    <col min="15615" max="15615" width="6" style="241" customWidth="1"/>
    <col min="15616" max="15616" width="32.44140625" style="241" customWidth="1"/>
    <col min="15617" max="15617" width="12.6640625" style="241" customWidth="1"/>
    <col min="15618" max="15618" width="13.44140625" style="241" customWidth="1"/>
    <col min="15619" max="15619" width="6.33203125" style="241" customWidth="1"/>
    <col min="15620" max="15620" width="6.109375" style="241" customWidth="1"/>
    <col min="15621" max="15621" width="7" style="241" customWidth="1"/>
    <col min="15622" max="15622" width="4" style="241" customWidth="1"/>
    <col min="15623" max="15623" width="9.33203125" style="241" customWidth="1"/>
    <col min="15624" max="15624" width="8.88671875" style="241" customWidth="1"/>
    <col min="15625" max="15625" width="8.44140625" style="241" customWidth="1"/>
    <col min="15626" max="15870" width="8.88671875" style="241" customWidth="1"/>
    <col min="15871" max="15871" width="6" style="241" customWidth="1"/>
    <col min="15872" max="15872" width="32.44140625" style="241" customWidth="1"/>
    <col min="15873" max="15873" width="12.6640625" style="241" customWidth="1"/>
    <col min="15874" max="15874" width="13.44140625" style="241" customWidth="1"/>
    <col min="15875" max="15875" width="6.33203125" style="241" customWidth="1"/>
    <col min="15876" max="15876" width="6.109375" style="241" customWidth="1"/>
    <col min="15877" max="15877" width="7" style="241" customWidth="1"/>
    <col min="15878" max="15878" width="4" style="241" customWidth="1"/>
    <col min="15879" max="15879" width="9.33203125" style="241" customWidth="1"/>
    <col min="15880" max="15880" width="8.88671875" style="241" customWidth="1"/>
    <col min="15881" max="15881" width="8.44140625" style="241" customWidth="1"/>
    <col min="15882" max="16126" width="8.88671875" style="241" customWidth="1"/>
    <col min="16127" max="16127" width="6" style="241" customWidth="1"/>
    <col min="16128" max="16128" width="32.44140625" style="241" customWidth="1"/>
    <col min="16129" max="16129" width="12.6640625" style="241" customWidth="1"/>
    <col min="16130" max="16130" width="13.44140625" style="241" customWidth="1"/>
    <col min="16131" max="16131" width="6.33203125" style="241" customWidth="1"/>
    <col min="16132" max="16132" width="6.109375" style="241" customWidth="1"/>
    <col min="16133" max="16133" width="7" style="241" customWidth="1"/>
    <col min="16134" max="16134" width="4" style="241" customWidth="1"/>
    <col min="16135" max="16135" width="9.33203125" style="241" customWidth="1"/>
    <col min="16136" max="16136" width="8.88671875" style="241" customWidth="1"/>
    <col min="16137" max="16137" width="8.44140625" style="241" customWidth="1"/>
    <col min="16138" max="16384" width="8.88671875" style="241" customWidth="1"/>
  </cols>
  <sheetData>
    <row r="1" spans="1:10" x14ac:dyDescent="0.25">
      <c r="B1" s="242" t="s">
        <v>714</v>
      </c>
      <c r="C1" s="243"/>
      <c r="D1" s="243"/>
      <c r="E1" s="243"/>
      <c r="F1" s="243"/>
      <c r="G1" s="243"/>
      <c r="H1" s="243"/>
      <c r="I1" s="243"/>
      <c r="J1" s="244"/>
    </row>
    <row r="2" spans="1:10" x14ac:dyDescent="0.25">
      <c r="B2" s="243"/>
      <c r="C2" s="243"/>
      <c r="D2" s="243"/>
      <c r="E2" s="243"/>
      <c r="F2" s="243"/>
      <c r="G2" s="243"/>
      <c r="H2" s="243"/>
      <c r="I2" s="243"/>
      <c r="J2" s="244"/>
    </row>
    <row r="3" spans="1:10" ht="13.8" thickBot="1" x14ac:dyDescent="0.3">
      <c r="B3" s="245"/>
      <c r="C3" s="245"/>
      <c r="D3" s="245"/>
      <c r="E3" s="245"/>
      <c r="F3" s="245"/>
      <c r="G3" s="245"/>
      <c r="H3" s="245"/>
      <c r="I3" s="245"/>
    </row>
    <row r="4" spans="1:10" ht="13.8" thickBot="1" x14ac:dyDescent="0.3">
      <c r="F4" s="246" t="s">
        <v>715</v>
      </c>
      <c r="G4" s="246" t="s">
        <v>716</v>
      </c>
      <c r="J4" s="247" t="s">
        <v>717</v>
      </c>
    </row>
    <row r="5" spans="1:10" ht="13.8" thickBot="1" x14ac:dyDescent="0.3">
      <c r="A5" s="248" t="s">
        <v>718</v>
      </c>
      <c r="B5" s="249" t="s">
        <v>719</v>
      </c>
      <c r="C5" s="249" t="s">
        <v>720</v>
      </c>
      <c r="D5" s="249" t="s">
        <v>721</v>
      </c>
      <c r="E5" s="250" t="s">
        <v>722</v>
      </c>
      <c r="F5" s="251" t="s">
        <v>723</v>
      </c>
      <c r="G5" s="251" t="s">
        <v>724</v>
      </c>
      <c r="H5" s="252" t="s">
        <v>725</v>
      </c>
      <c r="I5" s="250" t="s">
        <v>726</v>
      </c>
      <c r="J5" s="253" t="s">
        <v>727</v>
      </c>
    </row>
    <row r="6" spans="1:10" x14ac:dyDescent="0.25">
      <c r="A6" s="245"/>
      <c r="B6" s="254"/>
      <c r="C6" s="254"/>
      <c r="D6" s="254"/>
      <c r="E6" s="245"/>
      <c r="F6" s="245"/>
      <c r="G6" s="245"/>
      <c r="H6" s="245"/>
      <c r="I6" s="245"/>
      <c r="J6" s="255"/>
    </row>
    <row r="7" spans="1:10" x14ac:dyDescent="0.25">
      <c r="A7" s="256"/>
      <c r="B7" s="257" t="s">
        <v>728</v>
      </c>
      <c r="C7" s="258"/>
      <c r="D7" s="258"/>
      <c r="E7" s="255"/>
      <c r="F7" s="255"/>
      <c r="G7" s="245"/>
      <c r="J7" s="255"/>
    </row>
    <row r="8" spans="1:10" x14ac:dyDescent="0.25">
      <c r="A8" s="256"/>
      <c r="B8" s="259"/>
      <c r="C8" s="258"/>
      <c r="D8" s="258"/>
      <c r="E8" s="255"/>
      <c r="F8" s="255"/>
      <c r="G8" s="245"/>
      <c r="J8" s="255"/>
    </row>
    <row r="9" spans="1:10" x14ac:dyDescent="0.25">
      <c r="A9" s="256" t="s">
        <v>281</v>
      </c>
      <c r="B9" s="258" t="s">
        <v>729</v>
      </c>
      <c r="C9" s="258"/>
      <c r="D9" s="258" t="s">
        <v>730</v>
      </c>
      <c r="E9" s="255"/>
      <c r="F9" s="255"/>
      <c r="G9" s="260"/>
      <c r="H9" s="241">
        <v>1</v>
      </c>
      <c r="I9" s="309"/>
      <c r="J9" s="255">
        <f>H9*I9</f>
        <v>0</v>
      </c>
    </row>
    <row r="10" spans="1:10" x14ac:dyDescent="0.25">
      <c r="A10" s="256"/>
      <c r="B10" s="258" t="s">
        <v>731</v>
      </c>
      <c r="C10" s="258"/>
      <c r="D10" s="258"/>
      <c r="E10" s="255"/>
      <c r="F10" s="255"/>
      <c r="G10" s="245"/>
      <c r="I10" s="309"/>
      <c r="J10" s="255"/>
    </row>
    <row r="11" spans="1:10" x14ac:dyDescent="0.25">
      <c r="A11" s="256"/>
      <c r="B11" s="258" t="s">
        <v>732</v>
      </c>
      <c r="C11" s="245"/>
      <c r="D11" s="258"/>
      <c r="E11" s="245"/>
      <c r="F11" s="245"/>
      <c r="G11" s="245"/>
      <c r="I11" s="309"/>
      <c r="J11" s="255"/>
    </row>
    <row r="12" spans="1:10" x14ac:dyDescent="0.25">
      <c r="A12" s="256"/>
      <c r="B12" s="259"/>
      <c r="C12" s="258"/>
      <c r="D12" s="258"/>
      <c r="E12" s="255"/>
      <c r="F12" s="255"/>
      <c r="G12" s="245"/>
      <c r="I12" s="309"/>
      <c r="J12" s="255"/>
    </row>
    <row r="13" spans="1:10" x14ac:dyDescent="0.25">
      <c r="A13" s="256" t="s">
        <v>284</v>
      </c>
      <c r="B13" s="261" t="s">
        <v>733</v>
      </c>
      <c r="H13" s="241">
        <v>1</v>
      </c>
      <c r="I13" s="309"/>
      <c r="J13" s="255">
        <f>H13*I13</f>
        <v>0</v>
      </c>
    </row>
    <row r="14" spans="1:10" x14ac:dyDescent="0.25">
      <c r="A14" s="256"/>
      <c r="B14" s="261" t="s">
        <v>734</v>
      </c>
      <c r="I14" s="309"/>
      <c r="J14" s="255"/>
    </row>
    <row r="15" spans="1:10" x14ac:dyDescent="0.25">
      <c r="A15" s="256"/>
      <c r="B15" s="261" t="s">
        <v>735</v>
      </c>
      <c r="H15" s="241">
        <v>4</v>
      </c>
      <c r="I15" s="309"/>
      <c r="J15" s="255">
        <f>H15*I15</f>
        <v>0</v>
      </c>
    </row>
    <row r="16" spans="1:10" x14ac:dyDescent="0.25">
      <c r="A16" s="256"/>
      <c r="B16" s="259"/>
      <c r="C16" s="258"/>
      <c r="D16" s="258"/>
      <c r="E16" s="255"/>
      <c r="F16" s="255"/>
      <c r="G16" s="245"/>
      <c r="I16" s="309"/>
      <c r="J16" s="255"/>
    </row>
    <row r="17" spans="1:10" x14ac:dyDescent="0.25">
      <c r="A17" s="256" t="s">
        <v>285</v>
      </c>
      <c r="B17" s="261" t="s">
        <v>736</v>
      </c>
      <c r="D17" s="261" t="s">
        <v>737</v>
      </c>
      <c r="E17" s="241">
        <v>230</v>
      </c>
      <c r="F17" s="241">
        <v>0.15</v>
      </c>
      <c r="H17" s="241">
        <v>1</v>
      </c>
      <c r="I17" s="309"/>
      <c r="J17" s="255">
        <f>H17*I17</f>
        <v>0</v>
      </c>
    </row>
    <row r="18" spans="1:10" x14ac:dyDescent="0.25">
      <c r="A18" s="256"/>
      <c r="B18" s="261" t="s">
        <v>738</v>
      </c>
      <c r="I18" s="309"/>
      <c r="J18" s="255"/>
    </row>
    <row r="19" spans="1:10" x14ac:dyDescent="0.25">
      <c r="A19" s="256"/>
      <c r="B19" s="259"/>
      <c r="C19" s="258"/>
      <c r="D19" s="258"/>
      <c r="E19" s="255"/>
      <c r="F19" s="255"/>
      <c r="G19" s="245"/>
      <c r="I19" s="309"/>
      <c r="J19" s="255"/>
    </row>
    <row r="20" spans="1:10" x14ac:dyDescent="0.25">
      <c r="A20" s="256" t="s">
        <v>286</v>
      </c>
      <c r="B20" s="259" t="s">
        <v>739</v>
      </c>
      <c r="C20" s="258"/>
      <c r="D20" s="258" t="s">
        <v>740</v>
      </c>
      <c r="E20" s="255"/>
      <c r="F20" s="255"/>
      <c r="G20" s="245"/>
      <c r="H20" s="241">
        <v>1</v>
      </c>
      <c r="I20" s="309"/>
      <c r="J20" s="255">
        <f>H20*I20</f>
        <v>0</v>
      </c>
    </row>
    <row r="21" spans="1:10" x14ac:dyDescent="0.25">
      <c r="A21" s="256"/>
      <c r="B21" s="259" t="s">
        <v>741</v>
      </c>
      <c r="C21" s="258"/>
      <c r="D21" s="258"/>
      <c r="E21" s="255"/>
      <c r="F21" s="255"/>
      <c r="G21" s="245"/>
      <c r="I21" s="309"/>
      <c r="J21" s="255"/>
    </row>
    <row r="22" spans="1:10" x14ac:dyDescent="0.25">
      <c r="A22" s="256"/>
      <c r="B22" s="259"/>
      <c r="C22" s="258"/>
      <c r="D22" s="258"/>
      <c r="E22" s="255"/>
      <c r="F22" s="255"/>
      <c r="G22" s="245"/>
      <c r="I22" s="309"/>
      <c r="J22" s="255"/>
    </row>
    <row r="23" spans="1:10" x14ac:dyDescent="0.25">
      <c r="A23" s="256" t="s">
        <v>287</v>
      </c>
      <c r="B23" s="259" t="s">
        <v>742</v>
      </c>
      <c r="C23" s="258"/>
      <c r="D23" s="258" t="s">
        <v>743</v>
      </c>
      <c r="E23" s="255"/>
      <c r="F23" s="255"/>
      <c r="G23" s="245"/>
      <c r="H23" s="241">
        <v>1</v>
      </c>
      <c r="I23" s="309"/>
      <c r="J23" s="255">
        <f>H23*I23</f>
        <v>0</v>
      </c>
    </row>
    <row r="24" spans="1:10" x14ac:dyDescent="0.25">
      <c r="A24" s="256"/>
      <c r="B24" s="259"/>
      <c r="C24" s="258"/>
      <c r="D24" s="258"/>
      <c r="E24" s="255"/>
      <c r="F24" s="255"/>
      <c r="G24" s="245"/>
      <c r="J24" s="255"/>
    </row>
    <row r="25" spans="1:10" x14ac:dyDescent="0.25">
      <c r="A25" s="256"/>
      <c r="B25" s="259"/>
      <c r="C25" s="258"/>
      <c r="D25" s="258"/>
      <c r="E25" s="255"/>
      <c r="F25" s="255"/>
      <c r="G25" s="245"/>
      <c r="J25" s="255"/>
    </row>
    <row r="26" spans="1:10" x14ac:dyDescent="0.25">
      <c r="A26" s="256"/>
      <c r="B26" s="259"/>
      <c r="C26" s="258"/>
      <c r="D26" s="258"/>
      <c r="E26" s="255"/>
      <c r="F26" s="255"/>
      <c r="G26" s="245"/>
      <c r="J26" s="255"/>
    </row>
    <row r="27" spans="1:10" ht="13.8" thickBot="1" x14ac:dyDescent="0.3">
      <c r="A27" s="256"/>
      <c r="B27" s="259"/>
      <c r="C27" s="258"/>
      <c r="D27" s="258"/>
      <c r="E27" s="255"/>
      <c r="F27" s="255"/>
      <c r="G27" s="245"/>
      <c r="J27" s="255"/>
    </row>
    <row r="28" spans="1:10" ht="13.8" thickBot="1" x14ac:dyDescent="0.3">
      <c r="F28" s="246" t="s">
        <v>715</v>
      </c>
      <c r="G28" s="246" t="s">
        <v>716</v>
      </c>
      <c r="J28" s="247" t="s">
        <v>717</v>
      </c>
    </row>
    <row r="29" spans="1:10" ht="13.8" thickBot="1" x14ac:dyDescent="0.3">
      <c r="A29" s="248" t="s">
        <v>718</v>
      </c>
      <c r="B29" s="249" t="s">
        <v>719</v>
      </c>
      <c r="C29" s="249" t="s">
        <v>720</v>
      </c>
      <c r="D29" s="249" t="s">
        <v>721</v>
      </c>
      <c r="E29" s="250" t="s">
        <v>722</v>
      </c>
      <c r="F29" s="251" t="s">
        <v>723</v>
      </c>
      <c r="G29" s="251" t="s">
        <v>724</v>
      </c>
      <c r="H29" s="252" t="s">
        <v>725</v>
      </c>
      <c r="I29" s="250" t="s">
        <v>726</v>
      </c>
      <c r="J29" s="253" t="s">
        <v>727</v>
      </c>
    </row>
    <row r="30" spans="1:10" x14ac:dyDescent="0.25">
      <c r="A30" s="256"/>
      <c r="B30" s="259"/>
      <c r="C30" s="258"/>
      <c r="D30" s="258"/>
      <c r="E30" s="255"/>
      <c r="F30" s="255"/>
      <c r="G30" s="245"/>
      <c r="J30" s="255"/>
    </row>
    <row r="31" spans="1:10" x14ac:dyDescent="0.25">
      <c r="A31" s="256" t="s">
        <v>294</v>
      </c>
      <c r="B31" s="258" t="s">
        <v>744</v>
      </c>
      <c r="C31" s="262"/>
      <c r="D31" s="258" t="s">
        <v>745</v>
      </c>
      <c r="E31" s="245"/>
      <c r="F31" s="245"/>
      <c r="G31" s="245"/>
      <c r="H31" s="241">
        <v>1</v>
      </c>
      <c r="I31" s="309"/>
      <c r="J31" s="255">
        <f>H31*I31</f>
        <v>0</v>
      </c>
    </row>
    <row r="32" spans="1:10" x14ac:dyDescent="0.25">
      <c r="A32" s="256"/>
      <c r="B32" s="258" t="s">
        <v>746</v>
      </c>
      <c r="C32" s="245"/>
      <c r="D32" s="245"/>
      <c r="E32" s="245"/>
      <c r="F32" s="245"/>
      <c r="G32" s="245"/>
      <c r="I32" s="309"/>
      <c r="J32" s="255"/>
    </row>
    <row r="33" spans="1:10" x14ac:dyDescent="0.25">
      <c r="A33" s="256"/>
      <c r="B33" s="258" t="s">
        <v>747</v>
      </c>
      <c r="C33" s="245"/>
      <c r="D33" s="245"/>
      <c r="E33" s="245"/>
      <c r="F33" s="245"/>
      <c r="G33" s="245"/>
      <c r="I33" s="309"/>
      <c r="J33" s="255"/>
    </row>
    <row r="34" spans="1:10" x14ac:dyDescent="0.25">
      <c r="A34" s="256"/>
      <c r="B34" s="258" t="s">
        <v>748</v>
      </c>
      <c r="C34" s="245"/>
      <c r="D34" s="263"/>
      <c r="E34" s="245"/>
      <c r="F34" s="245"/>
      <c r="G34" s="245"/>
      <c r="I34" s="309"/>
      <c r="J34" s="255"/>
    </row>
    <row r="35" spans="1:10" x14ac:dyDescent="0.25">
      <c r="A35" s="256"/>
      <c r="B35" s="258" t="s">
        <v>749</v>
      </c>
      <c r="C35" s="245"/>
      <c r="D35" s="263"/>
      <c r="E35" s="245"/>
      <c r="F35" s="245"/>
      <c r="G35" s="245"/>
      <c r="I35" s="309"/>
      <c r="J35" s="255"/>
    </row>
    <row r="36" spans="1:10" x14ac:dyDescent="0.25">
      <c r="A36" s="256"/>
      <c r="B36" s="258" t="s">
        <v>750</v>
      </c>
      <c r="C36" s="245"/>
      <c r="D36" s="263"/>
      <c r="E36" s="245"/>
      <c r="F36" s="245"/>
      <c r="G36" s="245"/>
      <c r="I36" s="309"/>
      <c r="J36" s="255"/>
    </row>
    <row r="37" spans="1:10" x14ac:dyDescent="0.25">
      <c r="A37" s="256" t="s">
        <v>751</v>
      </c>
      <c r="B37" s="258" t="s">
        <v>752</v>
      </c>
      <c r="C37" s="245"/>
      <c r="D37" s="263"/>
      <c r="E37" s="245"/>
      <c r="F37" s="245"/>
      <c r="G37" s="245"/>
      <c r="H37" s="241">
        <v>1</v>
      </c>
      <c r="I37" s="309"/>
      <c r="J37" s="255">
        <f>H37*I37</f>
        <v>0</v>
      </c>
    </row>
    <row r="38" spans="1:10" x14ac:dyDescent="0.25">
      <c r="A38" s="256"/>
      <c r="B38" s="259"/>
      <c r="C38" s="258"/>
      <c r="D38" s="258"/>
      <c r="E38" s="255"/>
      <c r="F38" s="255"/>
      <c r="G38" s="245"/>
      <c r="I38" s="309"/>
      <c r="J38" s="255"/>
    </row>
    <row r="39" spans="1:10" x14ac:dyDescent="0.25">
      <c r="A39" s="256" t="s">
        <v>296</v>
      </c>
      <c r="B39" s="258" t="s">
        <v>753</v>
      </c>
      <c r="C39" s="255"/>
      <c r="D39" s="258" t="s">
        <v>737</v>
      </c>
      <c r="E39" s="245">
        <v>230</v>
      </c>
      <c r="F39" s="245">
        <v>3.5</v>
      </c>
      <c r="G39" s="245"/>
      <c r="H39" s="241">
        <v>1</v>
      </c>
      <c r="I39" s="309"/>
      <c r="J39" s="255">
        <f>H39*I39</f>
        <v>0</v>
      </c>
    </row>
    <row r="40" spans="1:10" x14ac:dyDescent="0.25">
      <c r="A40" s="256"/>
      <c r="B40" s="258" t="s">
        <v>754</v>
      </c>
      <c r="C40" s="262"/>
      <c r="D40" s="258"/>
      <c r="E40" s="245"/>
      <c r="F40" s="245"/>
      <c r="G40" s="245"/>
      <c r="I40" s="309"/>
      <c r="J40" s="255"/>
    </row>
    <row r="41" spans="1:10" x14ac:dyDescent="0.25">
      <c r="A41" s="256"/>
      <c r="B41" s="259" t="s">
        <v>755</v>
      </c>
      <c r="C41" s="262"/>
      <c r="D41" s="258"/>
      <c r="E41" s="245"/>
      <c r="F41" s="245"/>
      <c r="G41" s="245"/>
      <c r="I41" s="309"/>
      <c r="J41" s="255"/>
    </row>
    <row r="42" spans="1:10" x14ac:dyDescent="0.25">
      <c r="A42" s="256"/>
      <c r="B42" s="258" t="s">
        <v>756</v>
      </c>
      <c r="C42" s="245"/>
      <c r="D42" s="245"/>
      <c r="E42" s="245"/>
      <c r="F42" s="245"/>
      <c r="G42" s="245"/>
      <c r="H42" s="241">
        <v>1</v>
      </c>
      <c r="I42" s="309"/>
      <c r="J42" s="255">
        <f>H42*I42</f>
        <v>0</v>
      </c>
    </row>
    <row r="43" spans="1:10" x14ac:dyDescent="0.25">
      <c r="A43" s="256"/>
      <c r="B43" s="258" t="s">
        <v>757</v>
      </c>
      <c r="C43" s="258"/>
      <c r="D43" s="258"/>
      <c r="E43" s="245"/>
      <c r="F43" s="245"/>
      <c r="G43" s="264"/>
      <c r="H43" s="241">
        <v>1</v>
      </c>
      <c r="I43" s="309"/>
      <c r="J43" s="255">
        <f>H43*I43</f>
        <v>0</v>
      </c>
    </row>
    <row r="44" spans="1:10" x14ac:dyDescent="0.25">
      <c r="A44" s="256"/>
      <c r="B44" s="259"/>
      <c r="C44" s="258"/>
      <c r="D44" s="258"/>
      <c r="E44" s="255"/>
      <c r="F44" s="255"/>
      <c r="G44" s="245"/>
      <c r="I44" s="309"/>
      <c r="J44" s="255"/>
    </row>
    <row r="45" spans="1:10" x14ac:dyDescent="0.25">
      <c r="A45" s="261" t="s">
        <v>298</v>
      </c>
      <c r="B45" s="261" t="s">
        <v>758</v>
      </c>
      <c r="D45" s="261" t="s">
        <v>759</v>
      </c>
      <c r="H45" s="241">
        <v>1</v>
      </c>
      <c r="I45" s="309"/>
      <c r="J45" s="255">
        <f>H45*I45</f>
        <v>0</v>
      </c>
    </row>
    <row r="46" spans="1:10" x14ac:dyDescent="0.25">
      <c r="A46" s="261" t="s">
        <v>760</v>
      </c>
      <c r="B46" s="261" t="s">
        <v>761</v>
      </c>
      <c r="H46" s="241">
        <v>1</v>
      </c>
      <c r="I46" s="309"/>
      <c r="J46" s="255">
        <f>H46*I46</f>
        <v>0</v>
      </c>
    </row>
    <row r="47" spans="1:10" x14ac:dyDescent="0.25">
      <c r="A47" s="261" t="s">
        <v>762</v>
      </c>
      <c r="B47" s="261" t="s">
        <v>763</v>
      </c>
      <c r="H47" s="241">
        <v>1</v>
      </c>
      <c r="I47" s="309"/>
      <c r="J47" s="255">
        <f>H47*I47</f>
        <v>0</v>
      </c>
    </row>
    <row r="48" spans="1:10" x14ac:dyDescent="0.25">
      <c r="A48" s="261" t="s">
        <v>764</v>
      </c>
      <c r="B48" s="261" t="s">
        <v>765</v>
      </c>
      <c r="H48" s="241">
        <v>1</v>
      </c>
      <c r="I48" s="309"/>
      <c r="J48" s="255">
        <f>H48*I48</f>
        <v>0</v>
      </c>
    </row>
    <row r="49" spans="1:10" x14ac:dyDescent="0.25">
      <c r="A49" s="256"/>
      <c r="B49" s="259"/>
      <c r="C49" s="258"/>
      <c r="D49" s="258"/>
      <c r="E49" s="255"/>
      <c r="F49" s="255"/>
      <c r="G49" s="245"/>
      <c r="J49" s="255"/>
    </row>
    <row r="50" spans="1:10" x14ac:dyDescent="0.25">
      <c r="J50" s="255"/>
    </row>
    <row r="51" spans="1:10" x14ac:dyDescent="0.25">
      <c r="E51" s="265" t="s">
        <v>766</v>
      </c>
      <c r="F51" s="265"/>
      <c r="G51" s="265"/>
      <c r="H51" s="265"/>
      <c r="I51" s="265"/>
      <c r="J51" s="266">
        <f>SUM(J9:J50)</f>
        <v>0</v>
      </c>
    </row>
    <row r="52" spans="1:10" x14ac:dyDescent="0.25">
      <c r="J52" s="255"/>
    </row>
    <row r="53" spans="1:10" x14ac:dyDescent="0.25">
      <c r="E53" s="261" t="s">
        <v>767</v>
      </c>
      <c r="H53" s="241">
        <v>32</v>
      </c>
      <c r="I53" s="309"/>
      <c r="J53" s="255">
        <f>H53*I53</f>
        <v>0</v>
      </c>
    </row>
    <row r="54" spans="1:10" x14ac:dyDescent="0.25">
      <c r="E54" s="261" t="s">
        <v>768</v>
      </c>
      <c r="H54" s="241">
        <v>1</v>
      </c>
      <c r="I54" s="309"/>
      <c r="J54" s="255">
        <f>H54*I54</f>
        <v>0</v>
      </c>
    </row>
    <row r="55" spans="1:10" x14ac:dyDescent="0.25">
      <c r="E55" s="261" t="s">
        <v>769</v>
      </c>
      <c r="H55" s="241">
        <v>1</v>
      </c>
      <c r="I55" s="309"/>
      <c r="J55" s="255">
        <f>H55*I55</f>
        <v>0</v>
      </c>
    </row>
    <row r="56" spans="1:10" x14ac:dyDescent="0.25">
      <c r="J56" s="255"/>
    </row>
    <row r="57" spans="1:10" x14ac:dyDescent="0.25">
      <c r="E57" s="267" t="s">
        <v>770</v>
      </c>
      <c r="F57" s="267"/>
      <c r="G57" s="267"/>
      <c r="H57" s="267"/>
      <c r="I57" s="267"/>
      <c r="J57" s="267">
        <f>SUM(J51:J56)</f>
        <v>0</v>
      </c>
    </row>
  </sheetData>
  <sheetProtection algorithmName="SHA-512" hashValue="lCgQ4uYNhsBWbBwIBO+qQ0h0jOT28cHb+7CElWYanrzkyfvgu+o5mS0msZL4Q1FhjBoiDdX72eJHVIvTxNt5sg==" saltValue="iKAnb3dF50j/wrTK4pxtdw==" spinCount="100000" sheet="1" objects="1" scenarios="1"/>
  <pageMargins left="0.78740157499999996" right="0.78740157499999996" top="0.984251969" bottom="0.984251969" header="0.4921259845" footer="0.4921259845"/>
  <pageSetup paperSize="9" scale="75" fitToHeight="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6"/>
  <sheetViews>
    <sheetView topLeftCell="A16" zoomScaleNormal="100" workbookViewId="0">
      <selection activeCell="N21" sqref="N21"/>
    </sheetView>
  </sheetViews>
  <sheetFormatPr defaultColWidth="11.44140625" defaultRowHeight="13.2" x14ac:dyDescent="0.25"/>
  <cols>
    <col min="1" max="1" width="8" style="197" customWidth="1"/>
    <col min="2" max="2" width="16.88671875" style="197" customWidth="1"/>
    <col min="3" max="3" width="35.33203125" style="197" customWidth="1"/>
    <col min="4" max="4" width="5.6640625" style="197" customWidth="1"/>
    <col min="5" max="5" width="8.33203125" style="197" customWidth="1"/>
    <col min="6" max="6" width="8.44140625" style="197" customWidth="1"/>
    <col min="7" max="7" width="9.44140625" style="197" customWidth="1"/>
    <col min="8" max="8" width="9.33203125" style="197" customWidth="1"/>
    <col min="9" max="9" width="8.33203125" style="197" customWidth="1"/>
    <col min="10" max="10" width="8" style="197" customWidth="1"/>
    <col min="11" max="256" width="8.88671875" style="197" customWidth="1"/>
    <col min="257" max="257" width="8" style="197" customWidth="1"/>
    <col min="258" max="258" width="16.88671875" style="197" customWidth="1"/>
    <col min="259" max="259" width="35.33203125" style="197" customWidth="1"/>
    <col min="260" max="260" width="5.6640625" style="197" customWidth="1"/>
    <col min="261" max="261" width="8.33203125" style="197" customWidth="1"/>
    <col min="262" max="262" width="8.44140625" style="197" customWidth="1"/>
    <col min="263" max="263" width="9.44140625" style="197" customWidth="1"/>
    <col min="264" max="264" width="9.33203125" style="197" customWidth="1"/>
    <col min="265" max="265" width="8.33203125" style="197" customWidth="1"/>
    <col min="266" max="266" width="8" style="197" customWidth="1"/>
    <col min="267" max="512" width="8.88671875" style="197" customWidth="1"/>
    <col min="513" max="513" width="8" style="197" customWidth="1"/>
    <col min="514" max="514" width="16.88671875" style="197" customWidth="1"/>
    <col min="515" max="515" width="35.33203125" style="197" customWidth="1"/>
    <col min="516" max="516" width="5.6640625" style="197" customWidth="1"/>
    <col min="517" max="517" width="8.33203125" style="197" customWidth="1"/>
    <col min="518" max="518" width="8.44140625" style="197" customWidth="1"/>
    <col min="519" max="519" width="9.44140625" style="197" customWidth="1"/>
    <col min="520" max="520" width="9.33203125" style="197" customWidth="1"/>
    <col min="521" max="521" width="8.33203125" style="197" customWidth="1"/>
    <col min="522" max="522" width="8" style="197" customWidth="1"/>
    <col min="523" max="768" width="8.88671875" style="197" customWidth="1"/>
    <col min="769" max="769" width="8" style="197" customWidth="1"/>
    <col min="770" max="770" width="16.88671875" style="197" customWidth="1"/>
    <col min="771" max="771" width="35.33203125" style="197" customWidth="1"/>
    <col min="772" max="772" width="5.6640625" style="197" customWidth="1"/>
    <col min="773" max="773" width="8.33203125" style="197" customWidth="1"/>
    <col min="774" max="774" width="8.44140625" style="197" customWidth="1"/>
    <col min="775" max="775" width="9.44140625" style="197" customWidth="1"/>
    <col min="776" max="776" width="9.33203125" style="197" customWidth="1"/>
    <col min="777" max="777" width="8.33203125" style="197" customWidth="1"/>
    <col min="778" max="778" width="8" style="197" customWidth="1"/>
    <col min="779" max="1024" width="8.88671875" style="197" customWidth="1"/>
    <col min="1025" max="1025" width="8" style="197" customWidth="1"/>
    <col min="1026" max="1026" width="16.88671875" style="197" customWidth="1"/>
    <col min="1027" max="1027" width="35.33203125" style="197" customWidth="1"/>
    <col min="1028" max="1028" width="5.6640625" style="197" customWidth="1"/>
    <col min="1029" max="1029" width="8.33203125" style="197" customWidth="1"/>
    <col min="1030" max="1030" width="8.44140625" style="197" customWidth="1"/>
    <col min="1031" max="1031" width="9.44140625" style="197" customWidth="1"/>
    <col min="1032" max="1032" width="9.33203125" style="197" customWidth="1"/>
    <col min="1033" max="1033" width="8.33203125" style="197" customWidth="1"/>
    <col min="1034" max="1034" width="8" style="197" customWidth="1"/>
    <col min="1035" max="1280" width="8.88671875" style="197" customWidth="1"/>
    <col min="1281" max="1281" width="8" style="197" customWidth="1"/>
    <col min="1282" max="1282" width="16.88671875" style="197" customWidth="1"/>
    <col min="1283" max="1283" width="35.33203125" style="197" customWidth="1"/>
    <col min="1284" max="1284" width="5.6640625" style="197" customWidth="1"/>
    <col min="1285" max="1285" width="8.33203125" style="197" customWidth="1"/>
    <col min="1286" max="1286" width="8.44140625" style="197" customWidth="1"/>
    <col min="1287" max="1287" width="9.44140625" style="197" customWidth="1"/>
    <col min="1288" max="1288" width="9.33203125" style="197" customWidth="1"/>
    <col min="1289" max="1289" width="8.33203125" style="197" customWidth="1"/>
    <col min="1290" max="1290" width="8" style="197" customWidth="1"/>
    <col min="1291" max="1536" width="8.88671875" style="197" customWidth="1"/>
    <col min="1537" max="1537" width="8" style="197" customWidth="1"/>
    <col min="1538" max="1538" width="16.88671875" style="197" customWidth="1"/>
    <col min="1539" max="1539" width="35.33203125" style="197" customWidth="1"/>
    <col min="1540" max="1540" width="5.6640625" style="197" customWidth="1"/>
    <col min="1541" max="1541" width="8.33203125" style="197" customWidth="1"/>
    <col min="1542" max="1542" width="8.44140625" style="197" customWidth="1"/>
    <col min="1543" max="1543" width="9.44140625" style="197" customWidth="1"/>
    <col min="1544" max="1544" width="9.33203125" style="197" customWidth="1"/>
    <col min="1545" max="1545" width="8.33203125" style="197" customWidth="1"/>
    <col min="1546" max="1546" width="8" style="197" customWidth="1"/>
    <col min="1547" max="1792" width="8.88671875" style="197" customWidth="1"/>
    <col min="1793" max="1793" width="8" style="197" customWidth="1"/>
    <col min="1794" max="1794" width="16.88671875" style="197" customWidth="1"/>
    <col min="1795" max="1795" width="35.33203125" style="197" customWidth="1"/>
    <col min="1796" max="1796" width="5.6640625" style="197" customWidth="1"/>
    <col min="1797" max="1797" width="8.33203125" style="197" customWidth="1"/>
    <col min="1798" max="1798" width="8.44140625" style="197" customWidth="1"/>
    <col min="1799" max="1799" width="9.44140625" style="197" customWidth="1"/>
    <col min="1800" max="1800" width="9.33203125" style="197" customWidth="1"/>
    <col min="1801" max="1801" width="8.33203125" style="197" customWidth="1"/>
    <col min="1802" max="1802" width="8" style="197" customWidth="1"/>
    <col min="1803" max="2048" width="8.88671875" style="197" customWidth="1"/>
    <col min="2049" max="2049" width="8" style="197" customWidth="1"/>
    <col min="2050" max="2050" width="16.88671875" style="197" customWidth="1"/>
    <col min="2051" max="2051" width="35.33203125" style="197" customWidth="1"/>
    <col min="2052" max="2052" width="5.6640625" style="197" customWidth="1"/>
    <col min="2053" max="2053" width="8.33203125" style="197" customWidth="1"/>
    <col min="2054" max="2054" width="8.44140625" style="197" customWidth="1"/>
    <col min="2055" max="2055" width="9.44140625" style="197" customWidth="1"/>
    <col min="2056" max="2056" width="9.33203125" style="197" customWidth="1"/>
    <col min="2057" max="2057" width="8.33203125" style="197" customWidth="1"/>
    <col min="2058" max="2058" width="8" style="197" customWidth="1"/>
    <col min="2059" max="2304" width="8.88671875" style="197" customWidth="1"/>
    <col min="2305" max="2305" width="8" style="197" customWidth="1"/>
    <col min="2306" max="2306" width="16.88671875" style="197" customWidth="1"/>
    <col min="2307" max="2307" width="35.33203125" style="197" customWidth="1"/>
    <col min="2308" max="2308" width="5.6640625" style="197" customWidth="1"/>
    <col min="2309" max="2309" width="8.33203125" style="197" customWidth="1"/>
    <col min="2310" max="2310" width="8.44140625" style="197" customWidth="1"/>
    <col min="2311" max="2311" width="9.44140625" style="197" customWidth="1"/>
    <col min="2312" max="2312" width="9.33203125" style="197" customWidth="1"/>
    <col min="2313" max="2313" width="8.33203125" style="197" customWidth="1"/>
    <col min="2314" max="2314" width="8" style="197" customWidth="1"/>
    <col min="2315" max="2560" width="8.88671875" style="197" customWidth="1"/>
    <col min="2561" max="2561" width="8" style="197" customWidth="1"/>
    <col min="2562" max="2562" width="16.88671875" style="197" customWidth="1"/>
    <col min="2563" max="2563" width="35.33203125" style="197" customWidth="1"/>
    <col min="2564" max="2564" width="5.6640625" style="197" customWidth="1"/>
    <col min="2565" max="2565" width="8.33203125" style="197" customWidth="1"/>
    <col min="2566" max="2566" width="8.44140625" style="197" customWidth="1"/>
    <col min="2567" max="2567" width="9.44140625" style="197" customWidth="1"/>
    <col min="2568" max="2568" width="9.33203125" style="197" customWidth="1"/>
    <col min="2569" max="2569" width="8.33203125" style="197" customWidth="1"/>
    <col min="2570" max="2570" width="8" style="197" customWidth="1"/>
    <col min="2571" max="2816" width="8.88671875" style="197" customWidth="1"/>
    <col min="2817" max="2817" width="8" style="197" customWidth="1"/>
    <col min="2818" max="2818" width="16.88671875" style="197" customWidth="1"/>
    <col min="2819" max="2819" width="35.33203125" style="197" customWidth="1"/>
    <col min="2820" max="2820" width="5.6640625" style="197" customWidth="1"/>
    <col min="2821" max="2821" width="8.33203125" style="197" customWidth="1"/>
    <col min="2822" max="2822" width="8.44140625" style="197" customWidth="1"/>
    <col min="2823" max="2823" width="9.44140625" style="197" customWidth="1"/>
    <col min="2824" max="2824" width="9.33203125" style="197" customWidth="1"/>
    <col min="2825" max="2825" width="8.33203125" style="197" customWidth="1"/>
    <col min="2826" max="2826" width="8" style="197" customWidth="1"/>
    <col min="2827" max="3072" width="8.88671875" style="197" customWidth="1"/>
    <col min="3073" max="3073" width="8" style="197" customWidth="1"/>
    <col min="3074" max="3074" width="16.88671875" style="197" customWidth="1"/>
    <col min="3075" max="3075" width="35.33203125" style="197" customWidth="1"/>
    <col min="3076" max="3076" width="5.6640625" style="197" customWidth="1"/>
    <col min="3077" max="3077" width="8.33203125" style="197" customWidth="1"/>
    <col min="3078" max="3078" width="8.44140625" style="197" customWidth="1"/>
    <col min="3079" max="3079" width="9.44140625" style="197" customWidth="1"/>
    <col min="3080" max="3080" width="9.33203125" style="197" customWidth="1"/>
    <col min="3081" max="3081" width="8.33203125" style="197" customWidth="1"/>
    <col min="3082" max="3082" width="8" style="197" customWidth="1"/>
    <col min="3083" max="3328" width="8.88671875" style="197" customWidth="1"/>
    <col min="3329" max="3329" width="8" style="197" customWidth="1"/>
    <col min="3330" max="3330" width="16.88671875" style="197" customWidth="1"/>
    <col min="3331" max="3331" width="35.33203125" style="197" customWidth="1"/>
    <col min="3332" max="3332" width="5.6640625" style="197" customWidth="1"/>
    <col min="3333" max="3333" width="8.33203125" style="197" customWidth="1"/>
    <col min="3334" max="3334" width="8.44140625" style="197" customWidth="1"/>
    <col min="3335" max="3335" width="9.44140625" style="197" customWidth="1"/>
    <col min="3336" max="3336" width="9.33203125" style="197" customWidth="1"/>
    <col min="3337" max="3337" width="8.33203125" style="197" customWidth="1"/>
    <col min="3338" max="3338" width="8" style="197" customWidth="1"/>
    <col min="3339" max="3584" width="8.88671875" style="197" customWidth="1"/>
    <col min="3585" max="3585" width="8" style="197" customWidth="1"/>
    <col min="3586" max="3586" width="16.88671875" style="197" customWidth="1"/>
    <col min="3587" max="3587" width="35.33203125" style="197" customWidth="1"/>
    <col min="3588" max="3588" width="5.6640625" style="197" customWidth="1"/>
    <col min="3589" max="3589" width="8.33203125" style="197" customWidth="1"/>
    <col min="3590" max="3590" width="8.44140625" style="197" customWidth="1"/>
    <col min="3591" max="3591" width="9.44140625" style="197" customWidth="1"/>
    <col min="3592" max="3592" width="9.33203125" style="197" customWidth="1"/>
    <col min="3593" max="3593" width="8.33203125" style="197" customWidth="1"/>
    <col min="3594" max="3594" width="8" style="197" customWidth="1"/>
    <col min="3595" max="3840" width="8.88671875" style="197" customWidth="1"/>
    <col min="3841" max="3841" width="8" style="197" customWidth="1"/>
    <col min="3842" max="3842" width="16.88671875" style="197" customWidth="1"/>
    <col min="3843" max="3843" width="35.33203125" style="197" customWidth="1"/>
    <col min="3844" max="3844" width="5.6640625" style="197" customWidth="1"/>
    <col min="3845" max="3845" width="8.33203125" style="197" customWidth="1"/>
    <col min="3846" max="3846" width="8.44140625" style="197" customWidth="1"/>
    <col min="3847" max="3847" width="9.44140625" style="197" customWidth="1"/>
    <col min="3848" max="3848" width="9.33203125" style="197" customWidth="1"/>
    <col min="3849" max="3849" width="8.33203125" style="197" customWidth="1"/>
    <col min="3850" max="3850" width="8" style="197" customWidth="1"/>
    <col min="3851" max="4096" width="8.88671875" style="197" customWidth="1"/>
    <col min="4097" max="4097" width="8" style="197" customWidth="1"/>
    <col min="4098" max="4098" width="16.88671875" style="197" customWidth="1"/>
    <col min="4099" max="4099" width="35.33203125" style="197" customWidth="1"/>
    <col min="4100" max="4100" width="5.6640625" style="197" customWidth="1"/>
    <col min="4101" max="4101" width="8.33203125" style="197" customWidth="1"/>
    <col min="4102" max="4102" width="8.44140625" style="197" customWidth="1"/>
    <col min="4103" max="4103" width="9.44140625" style="197" customWidth="1"/>
    <col min="4104" max="4104" width="9.33203125" style="197" customWidth="1"/>
    <col min="4105" max="4105" width="8.33203125" style="197" customWidth="1"/>
    <col min="4106" max="4106" width="8" style="197" customWidth="1"/>
    <col min="4107" max="4352" width="8.88671875" style="197" customWidth="1"/>
    <col min="4353" max="4353" width="8" style="197" customWidth="1"/>
    <col min="4354" max="4354" width="16.88671875" style="197" customWidth="1"/>
    <col min="4355" max="4355" width="35.33203125" style="197" customWidth="1"/>
    <col min="4356" max="4356" width="5.6640625" style="197" customWidth="1"/>
    <col min="4357" max="4357" width="8.33203125" style="197" customWidth="1"/>
    <col min="4358" max="4358" width="8.44140625" style="197" customWidth="1"/>
    <col min="4359" max="4359" width="9.44140625" style="197" customWidth="1"/>
    <col min="4360" max="4360" width="9.33203125" style="197" customWidth="1"/>
    <col min="4361" max="4361" width="8.33203125" style="197" customWidth="1"/>
    <col min="4362" max="4362" width="8" style="197" customWidth="1"/>
    <col min="4363" max="4608" width="8.88671875" style="197" customWidth="1"/>
    <col min="4609" max="4609" width="8" style="197" customWidth="1"/>
    <col min="4610" max="4610" width="16.88671875" style="197" customWidth="1"/>
    <col min="4611" max="4611" width="35.33203125" style="197" customWidth="1"/>
    <col min="4612" max="4612" width="5.6640625" style="197" customWidth="1"/>
    <col min="4613" max="4613" width="8.33203125" style="197" customWidth="1"/>
    <col min="4614" max="4614" width="8.44140625" style="197" customWidth="1"/>
    <col min="4615" max="4615" width="9.44140625" style="197" customWidth="1"/>
    <col min="4616" max="4616" width="9.33203125" style="197" customWidth="1"/>
    <col min="4617" max="4617" width="8.33203125" style="197" customWidth="1"/>
    <col min="4618" max="4618" width="8" style="197" customWidth="1"/>
    <col min="4619" max="4864" width="8.88671875" style="197" customWidth="1"/>
    <col min="4865" max="4865" width="8" style="197" customWidth="1"/>
    <col min="4866" max="4866" width="16.88671875" style="197" customWidth="1"/>
    <col min="4867" max="4867" width="35.33203125" style="197" customWidth="1"/>
    <col min="4868" max="4868" width="5.6640625" style="197" customWidth="1"/>
    <col min="4869" max="4869" width="8.33203125" style="197" customWidth="1"/>
    <col min="4870" max="4870" width="8.44140625" style="197" customWidth="1"/>
    <col min="4871" max="4871" width="9.44140625" style="197" customWidth="1"/>
    <col min="4872" max="4872" width="9.33203125" style="197" customWidth="1"/>
    <col min="4873" max="4873" width="8.33203125" style="197" customWidth="1"/>
    <col min="4874" max="4874" width="8" style="197" customWidth="1"/>
    <col min="4875" max="5120" width="8.88671875" style="197" customWidth="1"/>
    <col min="5121" max="5121" width="8" style="197" customWidth="1"/>
    <col min="5122" max="5122" width="16.88671875" style="197" customWidth="1"/>
    <col min="5123" max="5123" width="35.33203125" style="197" customWidth="1"/>
    <col min="5124" max="5124" width="5.6640625" style="197" customWidth="1"/>
    <col min="5125" max="5125" width="8.33203125" style="197" customWidth="1"/>
    <col min="5126" max="5126" width="8.44140625" style="197" customWidth="1"/>
    <col min="5127" max="5127" width="9.44140625" style="197" customWidth="1"/>
    <col min="5128" max="5128" width="9.33203125" style="197" customWidth="1"/>
    <col min="5129" max="5129" width="8.33203125" style="197" customWidth="1"/>
    <col min="5130" max="5130" width="8" style="197" customWidth="1"/>
    <col min="5131" max="5376" width="8.88671875" style="197" customWidth="1"/>
    <col min="5377" max="5377" width="8" style="197" customWidth="1"/>
    <col min="5378" max="5378" width="16.88671875" style="197" customWidth="1"/>
    <col min="5379" max="5379" width="35.33203125" style="197" customWidth="1"/>
    <col min="5380" max="5380" width="5.6640625" style="197" customWidth="1"/>
    <col min="5381" max="5381" width="8.33203125" style="197" customWidth="1"/>
    <col min="5382" max="5382" width="8.44140625" style="197" customWidth="1"/>
    <col min="5383" max="5383" width="9.44140625" style="197" customWidth="1"/>
    <col min="5384" max="5384" width="9.33203125" style="197" customWidth="1"/>
    <col min="5385" max="5385" width="8.33203125" style="197" customWidth="1"/>
    <col min="5386" max="5386" width="8" style="197" customWidth="1"/>
    <col min="5387" max="5632" width="8.88671875" style="197" customWidth="1"/>
    <col min="5633" max="5633" width="8" style="197" customWidth="1"/>
    <col min="5634" max="5634" width="16.88671875" style="197" customWidth="1"/>
    <col min="5635" max="5635" width="35.33203125" style="197" customWidth="1"/>
    <col min="5636" max="5636" width="5.6640625" style="197" customWidth="1"/>
    <col min="5637" max="5637" width="8.33203125" style="197" customWidth="1"/>
    <col min="5638" max="5638" width="8.44140625" style="197" customWidth="1"/>
    <col min="5639" max="5639" width="9.44140625" style="197" customWidth="1"/>
    <col min="5640" max="5640" width="9.33203125" style="197" customWidth="1"/>
    <col min="5641" max="5641" width="8.33203125" style="197" customWidth="1"/>
    <col min="5642" max="5642" width="8" style="197" customWidth="1"/>
    <col min="5643" max="5888" width="8.88671875" style="197" customWidth="1"/>
    <col min="5889" max="5889" width="8" style="197" customWidth="1"/>
    <col min="5890" max="5890" width="16.88671875" style="197" customWidth="1"/>
    <col min="5891" max="5891" width="35.33203125" style="197" customWidth="1"/>
    <col min="5892" max="5892" width="5.6640625" style="197" customWidth="1"/>
    <col min="5893" max="5893" width="8.33203125" style="197" customWidth="1"/>
    <col min="5894" max="5894" width="8.44140625" style="197" customWidth="1"/>
    <col min="5895" max="5895" width="9.44140625" style="197" customWidth="1"/>
    <col min="5896" max="5896" width="9.33203125" style="197" customWidth="1"/>
    <col min="5897" max="5897" width="8.33203125" style="197" customWidth="1"/>
    <col min="5898" max="5898" width="8" style="197" customWidth="1"/>
    <col min="5899" max="6144" width="8.88671875" style="197" customWidth="1"/>
    <col min="6145" max="6145" width="8" style="197" customWidth="1"/>
    <col min="6146" max="6146" width="16.88671875" style="197" customWidth="1"/>
    <col min="6147" max="6147" width="35.33203125" style="197" customWidth="1"/>
    <col min="6148" max="6148" width="5.6640625" style="197" customWidth="1"/>
    <col min="6149" max="6149" width="8.33203125" style="197" customWidth="1"/>
    <col min="6150" max="6150" width="8.44140625" style="197" customWidth="1"/>
    <col min="6151" max="6151" width="9.44140625" style="197" customWidth="1"/>
    <col min="6152" max="6152" width="9.33203125" style="197" customWidth="1"/>
    <col min="6153" max="6153" width="8.33203125" style="197" customWidth="1"/>
    <col min="6154" max="6154" width="8" style="197" customWidth="1"/>
    <col min="6155" max="6400" width="8.88671875" style="197" customWidth="1"/>
    <col min="6401" max="6401" width="8" style="197" customWidth="1"/>
    <col min="6402" max="6402" width="16.88671875" style="197" customWidth="1"/>
    <col min="6403" max="6403" width="35.33203125" style="197" customWidth="1"/>
    <col min="6404" max="6404" width="5.6640625" style="197" customWidth="1"/>
    <col min="6405" max="6405" width="8.33203125" style="197" customWidth="1"/>
    <col min="6406" max="6406" width="8.44140625" style="197" customWidth="1"/>
    <col min="6407" max="6407" width="9.44140625" style="197" customWidth="1"/>
    <col min="6408" max="6408" width="9.33203125" style="197" customWidth="1"/>
    <col min="6409" max="6409" width="8.33203125" style="197" customWidth="1"/>
    <col min="6410" max="6410" width="8" style="197" customWidth="1"/>
    <col min="6411" max="6656" width="8.88671875" style="197" customWidth="1"/>
    <col min="6657" max="6657" width="8" style="197" customWidth="1"/>
    <col min="6658" max="6658" width="16.88671875" style="197" customWidth="1"/>
    <col min="6659" max="6659" width="35.33203125" style="197" customWidth="1"/>
    <col min="6660" max="6660" width="5.6640625" style="197" customWidth="1"/>
    <col min="6661" max="6661" width="8.33203125" style="197" customWidth="1"/>
    <col min="6662" max="6662" width="8.44140625" style="197" customWidth="1"/>
    <col min="6663" max="6663" width="9.44140625" style="197" customWidth="1"/>
    <col min="6664" max="6664" width="9.33203125" style="197" customWidth="1"/>
    <col min="6665" max="6665" width="8.33203125" style="197" customWidth="1"/>
    <col min="6666" max="6666" width="8" style="197" customWidth="1"/>
    <col min="6667" max="6912" width="8.88671875" style="197" customWidth="1"/>
    <col min="6913" max="6913" width="8" style="197" customWidth="1"/>
    <col min="6914" max="6914" width="16.88671875" style="197" customWidth="1"/>
    <col min="6915" max="6915" width="35.33203125" style="197" customWidth="1"/>
    <col min="6916" max="6916" width="5.6640625" style="197" customWidth="1"/>
    <col min="6917" max="6917" width="8.33203125" style="197" customWidth="1"/>
    <col min="6918" max="6918" width="8.44140625" style="197" customWidth="1"/>
    <col min="6919" max="6919" width="9.44140625" style="197" customWidth="1"/>
    <col min="6920" max="6920" width="9.33203125" style="197" customWidth="1"/>
    <col min="6921" max="6921" width="8.33203125" style="197" customWidth="1"/>
    <col min="6922" max="6922" width="8" style="197" customWidth="1"/>
    <col min="6923" max="7168" width="8.88671875" style="197" customWidth="1"/>
    <col min="7169" max="7169" width="8" style="197" customWidth="1"/>
    <col min="7170" max="7170" width="16.88671875" style="197" customWidth="1"/>
    <col min="7171" max="7171" width="35.33203125" style="197" customWidth="1"/>
    <col min="7172" max="7172" width="5.6640625" style="197" customWidth="1"/>
    <col min="7173" max="7173" width="8.33203125" style="197" customWidth="1"/>
    <col min="7174" max="7174" width="8.44140625" style="197" customWidth="1"/>
    <col min="7175" max="7175" width="9.44140625" style="197" customWidth="1"/>
    <col min="7176" max="7176" width="9.33203125" style="197" customWidth="1"/>
    <col min="7177" max="7177" width="8.33203125" style="197" customWidth="1"/>
    <col min="7178" max="7178" width="8" style="197" customWidth="1"/>
    <col min="7179" max="7424" width="8.88671875" style="197" customWidth="1"/>
    <col min="7425" max="7425" width="8" style="197" customWidth="1"/>
    <col min="7426" max="7426" width="16.88671875" style="197" customWidth="1"/>
    <col min="7427" max="7427" width="35.33203125" style="197" customWidth="1"/>
    <col min="7428" max="7428" width="5.6640625" style="197" customWidth="1"/>
    <col min="7429" max="7429" width="8.33203125" style="197" customWidth="1"/>
    <col min="7430" max="7430" width="8.44140625" style="197" customWidth="1"/>
    <col min="7431" max="7431" width="9.44140625" style="197" customWidth="1"/>
    <col min="7432" max="7432" width="9.33203125" style="197" customWidth="1"/>
    <col min="7433" max="7433" width="8.33203125" style="197" customWidth="1"/>
    <col min="7434" max="7434" width="8" style="197" customWidth="1"/>
    <col min="7435" max="7680" width="8.88671875" style="197" customWidth="1"/>
    <col min="7681" max="7681" width="8" style="197" customWidth="1"/>
    <col min="7682" max="7682" width="16.88671875" style="197" customWidth="1"/>
    <col min="7683" max="7683" width="35.33203125" style="197" customWidth="1"/>
    <col min="7684" max="7684" width="5.6640625" style="197" customWidth="1"/>
    <col min="7685" max="7685" width="8.33203125" style="197" customWidth="1"/>
    <col min="7686" max="7686" width="8.44140625" style="197" customWidth="1"/>
    <col min="7687" max="7687" width="9.44140625" style="197" customWidth="1"/>
    <col min="7688" max="7688" width="9.33203125" style="197" customWidth="1"/>
    <col min="7689" max="7689" width="8.33203125" style="197" customWidth="1"/>
    <col min="7690" max="7690" width="8" style="197" customWidth="1"/>
    <col min="7691" max="7936" width="8.88671875" style="197" customWidth="1"/>
    <col min="7937" max="7937" width="8" style="197" customWidth="1"/>
    <col min="7938" max="7938" width="16.88671875" style="197" customWidth="1"/>
    <col min="7939" max="7939" width="35.33203125" style="197" customWidth="1"/>
    <col min="7940" max="7940" width="5.6640625" style="197" customWidth="1"/>
    <col min="7941" max="7941" width="8.33203125" style="197" customWidth="1"/>
    <col min="7942" max="7942" width="8.44140625" style="197" customWidth="1"/>
    <col min="7943" max="7943" width="9.44140625" style="197" customWidth="1"/>
    <col min="7944" max="7944" width="9.33203125" style="197" customWidth="1"/>
    <col min="7945" max="7945" width="8.33203125" style="197" customWidth="1"/>
    <col min="7946" max="7946" width="8" style="197" customWidth="1"/>
    <col min="7947" max="8192" width="8.88671875" style="197" customWidth="1"/>
    <col min="8193" max="8193" width="8" style="197" customWidth="1"/>
    <col min="8194" max="8194" width="16.88671875" style="197" customWidth="1"/>
    <col min="8195" max="8195" width="35.33203125" style="197" customWidth="1"/>
    <col min="8196" max="8196" width="5.6640625" style="197" customWidth="1"/>
    <col min="8197" max="8197" width="8.33203125" style="197" customWidth="1"/>
    <col min="8198" max="8198" width="8.44140625" style="197" customWidth="1"/>
    <col min="8199" max="8199" width="9.44140625" style="197" customWidth="1"/>
    <col min="8200" max="8200" width="9.33203125" style="197" customWidth="1"/>
    <col min="8201" max="8201" width="8.33203125" style="197" customWidth="1"/>
    <col min="8202" max="8202" width="8" style="197" customWidth="1"/>
    <col min="8203" max="8448" width="8.88671875" style="197" customWidth="1"/>
    <col min="8449" max="8449" width="8" style="197" customWidth="1"/>
    <col min="8450" max="8450" width="16.88671875" style="197" customWidth="1"/>
    <col min="8451" max="8451" width="35.33203125" style="197" customWidth="1"/>
    <col min="8452" max="8452" width="5.6640625" style="197" customWidth="1"/>
    <col min="8453" max="8453" width="8.33203125" style="197" customWidth="1"/>
    <col min="8454" max="8454" width="8.44140625" style="197" customWidth="1"/>
    <col min="8455" max="8455" width="9.44140625" style="197" customWidth="1"/>
    <col min="8456" max="8456" width="9.33203125" style="197" customWidth="1"/>
    <col min="8457" max="8457" width="8.33203125" style="197" customWidth="1"/>
    <col min="8458" max="8458" width="8" style="197" customWidth="1"/>
    <col min="8459" max="8704" width="8.88671875" style="197" customWidth="1"/>
    <col min="8705" max="8705" width="8" style="197" customWidth="1"/>
    <col min="8706" max="8706" width="16.88671875" style="197" customWidth="1"/>
    <col min="8707" max="8707" width="35.33203125" style="197" customWidth="1"/>
    <col min="8708" max="8708" width="5.6640625" style="197" customWidth="1"/>
    <col min="8709" max="8709" width="8.33203125" style="197" customWidth="1"/>
    <col min="8710" max="8710" width="8.44140625" style="197" customWidth="1"/>
    <col min="8711" max="8711" width="9.44140625" style="197" customWidth="1"/>
    <col min="8712" max="8712" width="9.33203125" style="197" customWidth="1"/>
    <col min="8713" max="8713" width="8.33203125" style="197" customWidth="1"/>
    <col min="8714" max="8714" width="8" style="197" customWidth="1"/>
    <col min="8715" max="8960" width="8.88671875" style="197" customWidth="1"/>
    <col min="8961" max="8961" width="8" style="197" customWidth="1"/>
    <col min="8962" max="8962" width="16.88671875" style="197" customWidth="1"/>
    <col min="8963" max="8963" width="35.33203125" style="197" customWidth="1"/>
    <col min="8964" max="8964" width="5.6640625" style="197" customWidth="1"/>
    <col min="8965" max="8965" width="8.33203125" style="197" customWidth="1"/>
    <col min="8966" max="8966" width="8.44140625" style="197" customWidth="1"/>
    <col min="8967" max="8967" width="9.44140625" style="197" customWidth="1"/>
    <col min="8968" max="8968" width="9.33203125" style="197" customWidth="1"/>
    <col min="8969" max="8969" width="8.33203125" style="197" customWidth="1"/>
    <col min="8970" max="8970" width="8" style="197" customWidth="1"/>
    <col min="8971" max="9216" width="8.88671875" style="197" customWidth="1"/>
    <col min="9217" max="9217" width="8" style="197" customWidth="1"/>
    <col min="9218" max="9218" width="16.88671875" style="197" customWidth="1"/>
    <col min="9219" max="9219" width="35.33203125" style="197" customWidth="1"/>
    <col min="9220" max="9220" width="5.6640625" style="197" customWidth="1"/>
    <col min="9221" max="9221" width="8.33203125" style="197" customWidth="1"/>
    <col min="9222" max="9222" width="8.44140625" style="197" customWidth="1"/>
    <col min="9223" max="9223" width="9.44140625" style="197" customWidth="1"/>
    <col min="9224" max="9224" width="9.33203125" style="197" customWidth="1"/>
    <col min="9225" max="9225" width="8.33203125" style="197" customWidth="1"/>
    <col min="9226" max="9226" width="8" style="197" customWidth="1"/>
    <col min="9227" max="9472" width="8.88671875" style="197" customWidth="1"/>
    <col min="9473" max="9473" width="8" style="197" customWidth="1"/>
    <col min="9474" max="9474" width="16.88671875" style="197" customWidth="1"/>
    <col min="9475" max="9475" width="35.33203125" style="197" customWidth="1"/>
    <col min="9476" max="9476" width="5.6640625" style="197" customWidth="1"/>
    <col min="9477" max="9477" width="8.33203125" style="197" customWidth="1"/>
    <col min="9478" max="9478" width="8.44140625" style="197" customWidth="1"/>
    <col min="9479" max="9479" width="9.44140625" style="197" customWidth="1"/>
    <col min="9480" max="9480" width="9.33203125" style="197" customWidth="1"/>
    <col min="9481" max="9481" width="8.33203125" style="197" customWidth="1"/>
    <col min="9482" max="9482" width="8" style="197" customWidth="1"/>
    <col min="9483" max="9728" width="8.88671875" style="197" customWidth="1"/>
    <col min="9729" max="9729" width="8" style="197" customWidth="1"/>
    <col min="9730" max="9730" width="16.88671875" style="197" customWidth="1"/>
    <col min="9731" max="9731" width="35.33203125" style="197" customWidth="1"/>
    <col min="9732" max="9732" width="5.6640625" style="197" customWidth="1"/>
    <col min="9733" max="9733" width="8.33203125" style="197" customWidth="1"/>
    <col min="9734" max="9734" width="8.44140625" style="197" customWidth="1"/>
    <col min="9735" max="9735" width="9.44140625" style="197" customWidth="1"/>
    <col min="9736" max="9736" width="9.33203125" style="197" customWidth="1"/>
    <col min="9737" max="9737" width="8.33203125" style="197" customWidth="1"/>
    <col min="9738" max="9738" width="8" style="197" customWidth="1"/>
    <col min="9739" max="9984" width="8.88671875" style="197" customWidth="1"/>
    <col min="9985" max="9985" width="8" style="197" customWidth="1"/>
    <col min="9986" max="9986" width="16.88671875" style="197" customWidth="1"/>
    <col min="9987" max="9987" width="35.33203125" style="197" customWidth="1"/>
    <col min="9988" max="9988" width="5.6640625" style="197" customWidth="1"/>
    <col min="9989" max="9989" width="8.33203125" style="197" customWidth="1"/>
    <col min="9990" max="9990" width="8.44140625" style="197" customWidth="1"/>
    <col min="9991" max="9991" width="9.44140625" style="197" customWidth="1"/>
    <col min="9992" max="9992" width="9.33203125" style="197" customWidth="1"/>
    <col min="9993" max="9993" width="8.33203125" style="197" customWidth="1"/>
    <col min="9994" max="9994" width="8" style="197" customWidth="1"/>
    <col min="9995" max="10240" width="8.88671875" style="197" customWidth="1"/>
    <col min="10241" max="10241" width="8" style="197" customWidth="1"/>
    <col min="10242" max="10242" width="16.88671875" style="197" customWidth="1"/>
    <col min="10243" max="10243" width="35.33203125" style="197" customWidth="1"/>
    <col min="10244" max="10244" width="5.6640625" style="197" customWidth="1"/>
    <col min="10245" max="10245" width="8.33203125" style="197" customWidth="1"/>
    <col min="10246" max="10246" width="8.44140625" style="197" customWidth="1"/>
    <col min="10247" max="10247" width="9.44140625" style="197" customWidth="1"/>
    <col min="10248" max="10248" width="9.33203125" style="197" customWidth="1"/>
    <col min="10249" max="10249" width="8.33203125" style="197" customWidth="1"/>
    <col min="10250" max="10250" width="8" style="197" customWidth="1"/>
    <col min="10251" max="10496" width="8.88671875" style="197" customWidth="1"/>
    <col min="10497" max="10497" width="8" style="197" customWidth="1"/>
    <col min="10498" max="10498" width="16.88671875" style="197" customWidth="1"/>
    <col min="10499" max="10499" width="35.33203125" style="197" customWidth="1"/>
    <col min="10500" max="10500" width="5.6640625" style="197" customWidth="1"/>
    <col min="10501" max="10501" width="8.33203125" style="197" customWidth="1"/>
    <col min="10502" max="10502" width="8.44140625" style="197" customWidth="1"/>
    <col min="10503" max="10503" width="9.44140625" style="197" customWidth="1"/>
    <col min="10504" max="10504" width="9.33203125" style="197" customWidth="1"/>
    <col min="10505" max="10505" width="8.33203125" style="197" customWidth="1"/>
    <col min="10506" max="10506" width="8" style="197" customWidth="1"/>
    <col min="10507" max="10752" width="8.88671875" style="197" customWidth="1"/>
    <col min="10753" max="10753" width="8" style="197" customWidth="1"/>
    <col min="10754" max="10754" width="16.88671875" style="197" customWidth="1"/>
    <col min="10755" max="10755" width="35.33203125" style="197" customWidth="1"/>
    <col min="10756" max="10756" width="5.6640625" style="197" customWidth="1"/>
    <col min="10757" max="10757" width="8.33203125" style="197" customWidth="1"/>
    <col min="10758" max="10758" width="8.44140625" style="197" customWidth="1"/>
    <col min="10759" max="10759" width="9.44140625" style="197" customWidth="1"/>
    <col min="10760" max="10760" width="9.33203125" style="197" customWidth="1"/>
    <col min="10761" max="10761" width="8.33203125" style="197" customWidth="1"/>
    <col min="10762" max="10762" width="8" style="197" customWidth="1"/>
    <col min="10763" max="11008" width="8.88671875" style="197" customWidth="1"/>
    <col min="11009" max="11009" width="8" style="197" customWidth="1"/>
    <col min="11010" max="11010" width="16.88671875" style="197" customWidth="1"/>
    <col min="11011" max="11011" width="35.33203125" style="197" customWidth="1"/>
    <col min="11012" max="11012" width="5.6640625" style="197" customWidth="1"/>
    <col min="11013" max="11013" width="8.33203125" style="197" customWidth="1"/>
    <col min="11014" max="11014" width="8.44140625" style="197" customWidth="1"/>
    <col min="11015" max="11015" width="9.44140625" style="197" customWidth="1"/>
    <col min="11016" max="11016" width="9.33203125" style="197" customWidth="1"/>
    <col min="11017" max="11017" width="8.33203125" style="197" customWidth="1"/>
    <col min="11018" max="11018" width="8" style="197" customWidth="1"/>
    <col min="11019" max="11264" width="8.88671875" style="197" customWidth="1"/>
    <col min="11265" max="11265" width="8" style="197" customWidth="1"/>
    <col min="11266" max="11266" width="16.88671875" style="197" customWidth="1"/>
    <col min="11267" max="11267" width="35.33203125" style="197" customWidth="1"/>
    <col min="11268" max="11268" width="5.6640625" style="197" customWidth="1"/>
    <col min="11269" max="11269" width="8.33203125" style="197" customWidth="1"/>
    <col min="11270" max="11270" width="8.44140625" style="197" customWidth="1"/>
    <col min="11271" max="11271" width="9.44140625" style="197" customWidth="1"/>
    <col min="11272" max="11272" width="9.33203125" style="197" customWidth="1"/>
    <col min="11273" max="11273" width="8.33203125" style="197" customWidth="1"/>
    <col min="11274" max="11274" width="8" style="197" customWidth="1"/>
    <col min="11275" max="11520" width="8.88671875" style="197" customWidth="1"/>
    <col min="11521" max="11521" width="8" style="197" customWidth="1"/>
    <col min="11522" max="11522" width="16.88671875" style="197" customWidth="1"/>
    <col min="11523" max="11523" width="35.33203125" style="197" customWidth="1"/>
    <col min="11524" max="11524" width="5.6640625" style="197" customWidth="1"/>
    <col min="11525" max="11525" width="8.33203125" style="197" customWidth="1"/>
    <col min="11526" max="11526" width="8.44140625" style="197" customWidth="1"/>
    <col min="11527" max="11527" width="9.44140625" style="197" customWidth="1"/>
    <col min="11528" max="11528" width="9.33203125" style="197" customWidth="1"/>
    <col min="11529" max="11529" width="8.33203125" style="197" customWidth="1"/>
    <col min="11530" max="11530" width="8" style="197" customWidth="1"/>
    <col min="11531" max="11776" width="8.88671875" style="197" customWidth="1"/>
    <col min="11777" max="11777" width="8" style="197" customWidth="1"/>
    <col min="11778" max="11778" width="16.88671875" style="197" customWidth="1"/>
    <col min="11779" max="11779" width="35.33203125" style="197" customWidth="1"/>
    <col min="11780" max="11780" width="5.6640625" style="197" customWidth="1"/>
    <col min="11781" max="11781" width="8.33203125" style="197" customWidth="1"/>
    <col min="11782" max="11782" width="8.44140625" style="197" customWidth="1"/>
    <col min="11783" max="11783" width="9.44140625" style="197" customWidth="1"/>
    <col min="11784" max="11784" width="9.33203125" style="197" customWidth="1"/>
    <col min="11785" max="11785" width="8.33203125" style="197" customWidth="1"/>
    <col min="11786" max="11786" width="8" style="197" customWidth="1"/>
    <col min="11787" max="12032" width="8.88671875" style="197" customWidth="1"/>
    <col min="12033" max="12033" width="8" style="197" customWidth="1"/>
    <col min="12034" max="12034" width="16.88671875" style="197" customWidth="1"/>
    <col min="12035" max="12035" width="35.33203125" style="197" customWidth="1"/>
    <col min="12036" max="12036" width="5.6640625" style="197" customWidth="1"/>
    <col min="12037" max="12037" width="8.33203125" style="197" customWidth="1"/>
    <col min="12038" max="12038" width="8.44140625" style="197" customWidth="1"/>
    <col min="12039" max="12039" width="9.44140625" style="197" customWidth="1"/>
    <col min="12040" max="12040" width="9.33203125" style="197" customWidth="1"/>
    <col min="12041" max="12041" width="8.33203125" style="197" customWidth="1"/>
    <col min="12042" max="12042" width="8" style="197" customWidth="1"/>
    <col min="12043" max="12288" width="8.88671875" style="197" customWidth="1"/>
    <col min="12289" max="12289" width="8" style="197" customWidth="1"/>
    <col min="12290" max="12290" width="16.88671875" style="197" customWidth="1"/>
    <col min="12291" max="12291" width="35.33203125" style="197" customWidth="1"/>
    <col min="12292" max="12292" width="5.6640625" style="197" customWidth="1"/>
    <col min="12293" max="12293" width="8.33203125" style="197" customWidth="1"/>
    <col min="12294" max="12294" width="8.44140625" style="197" customWidth="1"/>
    <col min="12295" max="12295" width="9.44140625" style="197" customWidth="1"/>
    <col min="12296" max="12296" width="9.33203125" style="197" customWidth="1"/>
    <col min="12297" max="12297" width="8.33203125" style="197" customWidth="1"/>
    <col min="12298" max="12298" width="8" style="197" customWidth="1"/>
    <col min="12299" max="12544" width="8.88671875" style="197" customWidth="1"/>
    <col min="12545" max="12545" width="8" style="197" customWidth="1"/>
    <col min="12546" max="12546" width="16.88671875" style="197" customWidth="1"/>
    <col min="12547" max="12547" width="35.33203125" style="197" customWidth="1"/>
    <col min="12548" max="12548" width="5.6640625" style="197" customWidth="1"/>
    <col min="12549" max="12549" width="8.33203125" style="197" customWidth="1"/>
    <col min="12550" max="12550" width="8.44140625" style="197" customWidth="1"/>
    <col min="12551" max="12551" width="9.44140625" style="197" customWidth="1"/>
    <col min="12552" max="12552" width="9.33203125" style="197" customWidth="1"/>
    <col min="12553" max="12553" width="8.33203125" style="197" customWidth="1"/>
    <col min="12554" max="12554" width="8" style="197" customWidth="1"/>
    <col min="12555" max="12800" width="8.88671875" style="197" customWidth="1"/>
    <col min="12801" max="12801" width="8" style="197" customWidth="1"/>
    <col min="12802" max="12802" width="16.88671875" style="197" customWidth="1"/>
    <col min="12803" max="12803" width="35.33203125" style="197" customWidth="1"/>
    <col min="12804" max="12804" width="5.6640625" style="197" customWidth="1"/>
    <col min="12805" max="12805" width="8.33203125" style="197" customWidth="1"/>
    <col min="12806" max="12806" width="8.44140625" style="197" customWidth="1"/>
    <col min="12807" max="12807" width="9.44140625" style="197" customWidth="1"/>
    <col min="12808" max="12808" width="9.33203125" style="197" customWidth="1"/>
    <col min="12809" max="12809" width="8.33203125" style="197" customWidth="1"/>
    <col min="12810" max="12810" width="8" style="197" customWidth="1"/>
    <col min="12811" max="13056" width="8.88671875" style="197" customWidth="1"/>
    <col min="13057" max="13057" width="8" style="197" customWidth="1"/>
    <col min="13058" max="13058" width="16.88671875" style="197" customWidth="1"/>
    <col min="13059" max="13059" width="35.33203125" style="197" customWidth="1"/>
    <col min="13060" max="13060" width="5.6640625" style="197" customWidth="1"/>
    <col min="13061" max="13061" width="8.33203125" style="197" customWidth="1"/>
    <col min="13062" max="13062" width="8.44140625" style="197" customWidth="1"/>
    <col min="13063" max="13063" width="9.44140625" style="197" customWidth="1"/>
    <col min="13064" max="13064" width="9.33203125" style="197" customWidth="1"/>
    <col min="13065" max="13065" width="8.33203125" style="197" customWidth="1"/>
    <col min="13066" max="13066" width="8" style="197" customWidth="1"/>
    <col min="13067" max="13312" width="8.88671875" style="197" customWidth="1"/>
    <col min="13313" max="13313" width="8" style="197" customWidth="1"/>
    <col min="13314" max="13314" width="16.88671875" style="197" customWidth="1"/>
    <col min="13315" max="13315" width="35.33203125" style="197" customWidth="1"/>
    <col min="13316" max="13316" width="5.6640625" style="197" customWidth="1"/>
    <col min="13317" max="13317" width="8.33203125" style="197" customWidth="1"/>
    <col min="13318" max="13318" width="8.44140625" style="197" customWidth="1"/>
    <col min="13319" max="13319" width="9.44140625" style="197" customWidth="1"/>
    <col min="13320" max="13320" width="9.33203125" style="197" customWidth="1"/>
    <col min="13321" max="13321" width="8.33203125" style="197" customWidth="1"/>
    <col min="13322" max="13322" width="8" style="197" customWidth="1"/>
    <col min="13323" max="13568" width="8.88671875" style="197" customWidth="1"/>
    <col min="13569" max="13569" width="8" style="197" customWidth="1"/>
    <col min="13570" max="13570" width="16.88671875" style="197" customWidth="1"/>
    <col min="13571" max="13571" width="35.33203125" style="197" customWidth="1"/>
    <col min="13572" max="13572" width="5.6640625" style="197" customWidth="1"/>
    <col min="13573" max="13573" width="8.33203125" style="197" customWidth="1"/>
    <col min="13574" max="13574" width="8.44140625" style="197" customWidth="1"/>
    <col min="13575" max="13575" width="9.44140625" style="197" customWidth="1"/>
    <col min="13576" max="13576" width="9.33203125" style="197" customWidth="1"/>
    <col min="13577" max="13577" width="8.33203125" style="197" customWidth="1"/>
    <col min="13578" max="13578" width="8" style="197" customWidth="1"/>
    <col min="13579" max="13824" width="8.88671875" style="197" customWidth="1"/>
    <col min="13825" max="13825" width="8" style="197" customWidth="1"/>
    <col min="13826" max="13826" width="16.88671875" style="197" customWidth="1"/>
    <col min="13827" max="13827" width="35.33203125" style="197" customWidth="1"/>
    <col min="13828" max="13828" width="5.6640625" style="197" customWidth="1"/>
    <col min="13829" max="13829" width="8.33203125" style="197" customWidth="1"/>
    <col min="13830" max="13830" width="8.44140625" style="197" customWidth="1"/>
    <col min="13831" max="13831" width="9.44140625" style="197" customWidth="1"/>
    <col min="13832" max="13832" width="9.33203125" style="197" customWidth="1"/>
    <col min="13833" max="13833" width="8.33203125" style="197" customWidth="1"/>
    <col min="13834" max="13834" width="8" style="197" customWidth="1"/>
    <col min="13835" max="14080" width="8.88671875" style="197" customWidth="1"/>
    <col min="14081" max="14081" width="8" style="197" customWidth="1"/>
    <col min="14082" max="14082" width="16.88671875" style="197" customWidth="1"/>
    <col min="14083" max="14083" width="35.33203125" style="197" customWidth="1"/>
    <col min="14084" max="14084" width="5.6640625" style="197" customWidth="1"/>
    <col min="14085" max="14085" width="8.33203125" style="197" customWidth="1"/>
    <col min="14086" max="14086" width="8.44140625" style="197" customWidth="1"/>
    <col min="14087" max="14087" width="9.44140625" style="197" customWidth="1"/>
    <col min="14088" max="14088" width="9.33203125" style="197" customWidth="1"/>
    <col min="14089" max="14089" width="8.33203125" style="197" customWidth="1"/>
    <col min="14090" max="14090" width="8" style="197" customWidth="1"/>
    <col min="14091" max="14336" width="8.88671875" style="197" customWidth="1"/>
    <col min="14337" max="14337" width="8" style="197" customWidth="1"/>
    <col min="14338" max="14338" width="16.88671875" style="197" customWidth="1"/>
    <col min="14339" max="14339" width="35.33203125" style="197" customWidth="1"/>
    <col min="14340" max="14340" width="5.6640625" style="197" customWidth="1"/>
    <col min="14341" max="14341" width="8.33203125" style="197" customWidth="1"/>
    <col min="14342" max="14342" width="8.44140625" style="197" customWidth="1"/>
    <col min="14343" max="14343" width="9.44140625" style="197" customWidth="1"/>
    <col min="14344" max="14344" width="9.33203125" style="197" customWidth="1"/>
    <col min="14345" max="14345" width="8.33203125" style="197" customWidth="1"/>
    <col min="14346" max="14346" width="8" style="197" customWidth="1"/>
    <col min="14347" max="14592" width="8.88671875" style="197" customWidth="1"/>
    <col min="14593" max="14593" width="8" style="197" customWidth="1"/>
    <col min="14594" max="14594" width="16.88671875" style="197" customWidth="1"/>
    <col min="14595" max="14595" width="35.33203125" style="197" customWidth="1"/>
    <col min="14596" max="14596" width="5.6640625" style="197" customWidth="1"/>
    <col min="14597" max="14597" width="8.33203125" style="197" customWidth="1"/>
    <col min="14598" max="14598" width="8.44140625" style="197" customWidth="1"/>
    <col min="14599" max="14599" width="9.44140625" style="197" customWidth="1"/>
    <col min="14600" max="14600" width="9.33203125" style="197" customWidth="1"/>
    <col min="14601" max="14601" width="8.33203125" style="197" customWidth="1"/>
    <col min="14602" max="14602" width="8" style="197" customWidth="1"/>
    <col min="14603" max="14848" width="8.88671875" style="197" customWidth="1"/>
    <col min="14849" max="14849" width="8" style="197" customWidth="1"/>
    <col min="14850" max="14850" width="16.88671875" style="197" customWidth="1"/>
    <col min="14851" max="14851" width="35.33203125" style="197" customWidth="1"/>
    <col min="14852" max="14852" width="5.6640625" style="197" customWidth="1"/>
    <col min="14853" max="14853" width="8.33203125" style="197" customWidth="1"/>
    <col min="14854" max="14854" width="8.44140625" style="197" customWidth="1"/>
    <col min="14855" max="14855" width="9.44140625" style="197" customWidth="1"/>
    <col min="14856" max="14856" width="9.33203125" style="197" customWidth="1"/>
    <col min="14857" max="14857" width="8.33203125" style="197" customWidth="1"/>
    <col min="14858" max="14858" width="8" style="197" customWidth="1"/>
    <col min="14859" max="15104" width="8.88671875" style="197" customWidth="1"/>
    <col min="15105" max="15105" width="8" style="197" customWidth="1"/>
    <col min="15106" max="15106" width="16.88671875" style="197" customWidth="1"/>
    <col min="15107" max="15107" width="35.33203125" style="197" customWidth="1"/>
    <col min="15108" max="15108" width="5.6640625" style="197" customWidth="1"/>
    <col min="15109" max="15109" width="8.33203125" style="197" customWidth="1"/>
    <col min="15110" max="15110" width="8.44140625" style="197" customWidth="1"/>
    <col min="15111" max="15111" width="9.44140625" style="197" customWidth="1"/>
    <col min="15112" max="15112" width="9.33203125" style="197" customWidth="1"/>
    <col min="15113" max="15113" width="8.33203125" style="197" customWidth="1"/>
    <col min="15114" max="15114" width="8" style="197" customWidth="1"/>
    <col min="15115" max="15360" width="8.88671875" style="197" customWidth="1"/>
    <col min="15361" max="15361" width="8" style="197" customWidth="1"/>
    <col min="15362" max="15362" width="16.88671875" style="197" customWidth="1"/>
    <col min="15363" max="15363" width="35.33203125" style="197" customWidth="1"/>
    <col min="15364" max="15364" width="5.6640625" style="197" customWidth="1"/>
    <col min="15365" max="15365" width="8.33203125" style="197" customWidth="1"/>
    <col min="15366" max="15366" width="8.44140625" style="197" customWidth="1"/>
    <col min="15367" max="15367" width="9.44140625" style="197" customWidth="1"/>
    <col min="15368" max="15368" width="9.33203125" style="197" customWidth="1"/>
    <col min="15369" max="15369" width="8.33203125" style="197" customWidth="1"/>
    <col min="15370" max="15370" width="8" style="197" customWidth="1"/>
    <col min="15371" max="15616" width="8.88671875" style="197" customWidth="1"/>
    <col min="15617" max="15617" width="8" style="197" customWidth="1"/>
    <col min="15618" max="15618" width="16.88671875" style="197" customWidth="1"/>
    <col min="15619" max="15619" width="35.33203125" style="197" customWidth="1"/>
    <col min="15620" max="15620" width="5.6640625" style="197" customWidth="1"/>
    <col min="15621" max="15621" width="8.33203125" style="197" customWidth="1"/>
    <col min="15622" max="15622" width="8.44140625" style="197" customWidth="1"/>
    <col min="15623" max="15623" width="9.44140625" style="197" customWidth="1"/>
    <col min="15624" max="15624" width="9.33203125" style="197" customWidth="1"/>
    <col min="15625" max="15625" width="8.33203125" style="197" customWidth="1"/>
    <col min="15626" max="15626" width="8" style="197" customWidth="1"/>
    <col min="15627" max="15872" width="8.88671875" style="197" customWidth="1"/>
    <col min="15873" max="15873" width="8" style="197" customWidth="1"/>
    <col min="15874" max="15874" width="16.88671875" style="197" customWidth="1"/>
    <col min="15875" max="15875" width="35.33203125" style="197" customWidth="1"/>
    <col min="15876" max="15876" width="5.6640625" style="197" customWidth="1"/>
    <col min="15877" max="15877" width="8.33203125" style="197" customWidth="1"/>
    <col min="15878" max="15878" width="8.44140625" style="197" customWidth="1"/>
    <col min="15879" max="15879" width="9.44140625" style="197" customWidth="1"/>
    <col min="15880" max="15880" width="9.33203125" style="197" customWidth="1"/>
    <col min="15881" max="15881" width="8.33203125" style="197" customWidth="1"/>
    <col min="15882" max="15882" width="8" style="197" customWidth="1"/>
    <col min="15883" max="16128" width="8.88671875" style="197" customWidth="1"/>
    <col min="16129" max="16129" width="8" style="197" customWidth="1"/>
    <col min="16130" max="16130" width="16.88671875" style="197" customWidth="1"/>
    <col min="16131" max="16131" width="35.33203125" style="197" customWidth="1"/>
    <col min="16132" max="16132" width="5.6640625" style="197" customWidth="1"/>
    <col min="16133" max="16133" width="8.33203125" style="197" customWidth="1"/>
    <col min="16134" max="16134" width="8.44140625" style="197" customWidth="1"/>
    <col min="16135" max="16135" width="9.44140625" style="197" customWidth="1"/>
    <col min="16136" max="16136" width="9.33203125" style="197" customWidth="1"/>
    <col min="16137" max="16137" width="8.33203125" style="197" customWidth="1"/>
    <col min="16138" max="16138" width="8" style="197" customWidth="1"/>
    <col min="16139" max="16384" width="8.88671875" style="197" customWidth="1"/>
  </cols>
  <sheetData>
    <row r="2" spans="1:10" x14ac:dyDescent="0.25">
      <c r="A2" s="232" t="s">
        <v>505</v>
      </c>
      <c r="B2" s="232" t="s">
        <v>506</v>
      </c>
      <c r="C2" s="233" t="s">
        <v>810</v>
      </c>
      <c r="D2" s="232"/>
      <c r="E2" s="232"/>
      <c r="F2" s="232" t="s">
        <v>507</v>
      </c>
      <c r="G2" s="232" t="s">
        <v>508</v>
      </c>
      <c r="H2" s="232" t="s">
        <v>811</v>
      </c>
      <c r="I2" s="232"/>
      <c r="J2" s="232"/>
    </row>
    <row r="3" spans="1:10" x14ac:dyDescent="0.25">
      <c r="A3" s="232" t="s">
        <v>505</v>
      </c>
      <c r="B3" s="232" t="s">
        <v>509</v>
      </c>
      <c r="C3" s="233" t="s">
        <v>812</v>
      </c>
      <c r="D3" s="232"/>
      <c r="E3" s="232"/>
      <c r="F3" s="232" t="s">
        <v>510</v>
      </c>
      <c r="G3" s="232" t="s">
        <v>511</v>
      </c>
      <c r="H3" s="232" t="s">
        <v>529</v>
      </c>
      <c r="I3" s="232">
        <v>1</v>
      </c>
      <c r="J3" s="232"/>
    </row>
    <row r="4" spans="1:10" x14ac:dyDescent="0.25">
      <c r="A4" s="232"/>
      <c r="B4" s="232"/>
      <c r="C4" s="233"/>
      <c r="D4" s="232"/>
      <c r="E4" s="232"/>
      <c r="F4" s="232"/>
      <c r="G4" s="232"/>
      <c r="H4" s="232"/>
      <c r="I4" s="232"/>
      <c r="J4" s="232"/>
    </row>
    <row r="5" spans="1:10" ht="21" x14ac:dyDescent="0.25">
      <c r="A5" s="232" t="s">
        <v>512</v>
      </c>
      <c r="B5" s="232" t="s">
        <v>513</v>
      </c>
      <c r="C5" s="233" t="s">
        <v>514</v>
      </c>
      <c r="D5" s="232" t="s">
        <v>515</v>
      </c>
      <c r="E5" s="233" t="s">
        <v>516</v>
      </c>
      <c r="F5" s="233" t="s">
        <v>517</v>
      </c>
      <c r="G5" s="233" t="s">
        <v>518</v>
      </c>
      <c r="H5" s="233" t="s">
        <v>519</v>
      </c>
      <c r="I5" s="233" t="s">
        <v>813</v>
      </c>
      <c r="J5" s="233" t="s">
        <v>814</v>
      </c>
    </row>
    <row r="6" spans="1:10" x14ac:dyDescent="0.25">
      <c r="A6" s="232"/>
      <c r="B6" s="232"/>
      <c r="C6" s="233"/>
      <c r="D6" s="232"/>
      <c r="E6" s="232"/>
      <c r="F6" s="232"/>
      <c r="G6" s="232"/>
      <c r="H6" s="232"/>
      <c r="I6" s="232"/>
      <c r="J6" s="232"/>
    </row>
    <row r="7" spans="1:10" x14ac:dyDescent="0.25">
      <c r="A7" s="232" t="s">
        <v>530</v>
      </c>
      <c r="B7" s="232" t="s">
        <v>598</v>
      </c>
      <c r="C7" s="233" t="s">
        <v>599</v>
      </c>
      <c r="D7" s="232"/>
      <c r="E7" s="232"/>
      <c r="F7" s="232"/>
      <c r="G7" s="232"/>
      <c r="H7" s="232"/>
      <c r="I7" s="232"/>
      <c r="J7" s="232"/>
    </row>
    <row r="8" spans="1:10" x14ac:dyDescent="0.25">
      <c r="A8" s="232"/>
      <c r="B8" s="232"/>
      <c r="C8" s="233"/>
      <c r="D8" s="232"/>
      <c r="E8" s="232"/>
      <c r="F8" s="232"/>
      <c r="G8" s="232"/>
      <c r="H8" s="232"/>
      <c r="I8" s="232"/>
      <c r="J8" s="232"/>
    </row>
    <row r="9" spans="1:10" x14ac:dyDescent="0.25">
      <c r="A9" s="232" t="s">
        <v>815</v>
      </c>
      <c r="B9" s="232" t="s">
        <v>816</v>
      </c>
      <c r="C9" s="233" t="s">
        <v>625</v>
      </c>
      <c r="D9" s="232"/>
      <c r="E9" s="232"/>
      <c r="F9" s="232"/>
      <c r="G9" s="232"/>
      <c r="H9" s="232"/>
      <c r="I9" s="232"/>
      <c r="J9" s="232"/>
    </row>
    <row r="10" spans="1:10" ht="21" x14ac:dyDescent="0.25">
      <c r="A10" s="232">
        <v>1</v>
      </c>
      <c r="B10" s="232" t="s">
        <v>817</v>
      </c>
      <c r="C10" s="233" t="s">
        <v>818</v>
      </c>
      <c r="D10" s="232" t="s">
        <v>282</v>
      </c>
      <c r="E10" s="234">
        <v>48</v>
      </c>
      <c r="F10" s="310"/>
      <c r="G10" s="234">
        <f>E10*F10</f>
        <v>0</v>
      </c>
      <c r="H10" s="234"/>
      <c r="I10" s="234">
        <v>0.05</v>
      </c>
      <c r="J10" s="234">
        <v>2.4</v>
      </c>
    </row>
    <row r="11" spans="1:10" x14ac:dyDescent="0.25">
      <c r="A11" s="232">
        <v>2</v>
      </c>
      <c r="B11" s="232" t="s">
        <v>819</v>
      </c>
      <c r="C11" s="233" t="s">
        <v>820</v>
      </c>
      <c r="D11" s="232" t="s">
        <v>524</v>
      </c>
      <c r="E11" s="234">
        <v>5</v>
      </c>
      <c r="F11" s="310"/>
      <c r="G11" s="234">
        <f t="shared" ref="G11:G44" si="0">E11*F11</f>
        <v>0</v>
      </c>
      <c r="H11" s="234"/>
      <c r="I11" s="234">
        <v>0.01</v>
      </c>
      <c r="J11" s="234">
        <v>0.05</v>
      </c>
    </row>
    <row r="12" spans="1:10" ht="21" x14ac:dyDescent="0.25">
      <c r="A12" s="232">
        <v>3</v>
      </c>
      <c r="B12" s="232" t="s">
        <v>821</v>
      </c>
      <c r="C12" s="233" t="s">
        <v>822</v>
      </c>
      <c r="D12" s="232" t="s">
        <v>526</v>
      </c>
      <c r="E12" s="234">
        <v>0.42</v>
      </c>
      <c r="F12" s="310"/>
      <c r="G12" s="234">
        <f t="shared" si="0"/>
        <v>0</v>
      </c>
      <c r="H12" s="234"/>
      <c r="I12" s="234"/>
      <c r="J12" s="234"/>
    </row>
    <row r="13" spans="1:10" x14ac:dyDescent="0.25">
      <c r="A13" s="232">
        <v>4</v>
      </c>
      <c r="B13" s="232" t="s">
        <v>626</v>
      </c>
      <c r="C13" s="233" t="s">
        <v>823</v>
      </c>
      <c r="D13" s="232" t="s">
        <v>282</v>
      </c>
      <c r="E13" s="234">
        <v>8</v>
      </c>
      <c r="F13" s="310"/>
      <c r="G13" s="234">
        <f t="shared" si="0"/>
        <v>0</v>
      </c>
      <c r="H13" s="234"/>
      <c r="I13" s="234">
        <v>2E-3</v>
      </c>
      <c r="J13" s="234">
        <v>1.6E-2</v>
      </c>
    </row>
    <row r="14" spans="1:10" x14ac:dyDescent="0.25">
      <c r="A14" s="232">
        <v>5</v>
      </c>
      <c r="B14" s="232" t="s">
        <v>824</v>
      </c>
      <c r="C14" s="233" t="s">
        <v>825</v>
      </c>
      <c r="D14" s="232" t="s">
        <v>523</v>
      </c>
      <c r="E14" s="234">
        <v>0.5</v>
      </c>
      <c r="F14" s="310"/>
      <c r="G14" s="234">
        <f t="shared" si="0"/>
        <v>0</v>
      </c>
      <c r="H14" s="234"/>
      <c r="I14" s="234">
        <v>2.2000000000000002</v>
      </c>
      <c r="J14" s="234">
        <v>1.1000000000000001</v>
      </c>
    </row>
    <row r="15" spans="1:10" x14ac:dyDescent="0.25">
      <c r="A15" s="232">
        <v>6</v>
      </c>
      <c r="B15" s="232" t="s">
        <v>628</v>
      </c>
      <c r="C15" s="233" t="s">
        <v>627</v>
      </c>
      <c r="D15" s="232" t="s">
        <v>282</v>
      </c>
      <c r="E15" s="234">
        <v>4</v>
      </c>
      <c r="F15" s="310"/>
      <c r="G15" s="234">
        <f t="shared" si="0"/>
        <v>0</v>
      </c>
      <c r="H15" s="234"/>
      <c r="I15" s="234">
        <v>0.05</v>
      </c>
      <c r="J15" s="234">
        <v>0.2</v>
      </c>
    </row>
    <row r="16" spans="1:10" x14ac:dyDescent="0.25">
      <c r="A16" s="232">
        <v>7</v>
      </c>
      <c r="B16" s="232" t="s">
        <v>629</v>
      </c>
      <c r="C16" s="233" t="s">
        <v>826</v>
      </c>
      <c r="D16" s="232" t="s">
        <v>523</v>
      </c>
      <c r="E16" s="234">
        <v>0.7</v>
      </c>
      <c r="F16" s="310"/>
      <c r="G16" s="234">
        <f t="shared" si="0"/>
        <v>0</v>
      </c>
      <c r="H16" s="234"/>
      <c r="I16" s="234">
        <v>1.5</v>
      </c>
      <c r="J16" s="234">
        <v>1.05</v>
      </c>
    </row>
    <row r="17" spans="1:10" x14ac:dyDescent="0.25">
      <c r="A17" s="232">
        <v>8</v>
      </c>
      <c r="B17" s="232" t="s">
        <v>630</v>
      </c>
      <c r="C17" s="233" t="s">
        <v>827</v>
      </c>
      <c r="D17" s="232" t="s">
        <v>523</v>
      </c>
      <c r="E17" s="234">
        <v>0.7</v>
      </c>
      <c r="F17" s="310"/>
      <c r="G17" s="234">
        <f t="shared" si="0"/>
        <v>0</v>
      </c>
      <c r="H17" s="234"/>
      <c r="I17" s="234"/>
      <c r="J17" s="234"/>
    </row>
    <row r="18" spans="1:10" x14ac:dyDescent="0.25">
      <c r="A18" s="232">
        <v>9</v>
      </c>
      <c r="B18" s="232" t="s">
        <v>631</v>
      </c>
      <c r="C18" s="233" t="s">
        <v>828</v>
      </c>
      <c r="D18" s="232" t="s">
        <v>282</v>
      </c>
      <c r="E18" s="234">
        <v>2</v>
      </c>
      <c r="F18" s="310"/>
      <c r="G18" s="234">
        <f t="shared" si="0"/>
        <v>0</v>
      </c>
      <c r="H18" s="234"/>
      <c r="I18" s="234">
        <v>0.01</v>
      </c>
      <c r="J18" s="234">
        <v>0.02</v>
      </c>
    </row>
    <row r="19" spans="1:10" x14ac:dyDescent="0.25">
      <c r="A19" s="232">
        <v>10</v>
      </c>
      <c r="B19" s="232" t="s">
        <v>633</v>
      </c>
      <c r="C19" s="233" t="s">
        <v>632</v>
      </c>
      <c r="D19" s="232" t="s">
        <v>282</v>
      </c>
      <c r="E19" s="234">
        <v>2</v>
      </c>
      <c r="F19" s="310"/>
      <c r="G19" s="234">
        <f t="shared" si="0"/>
        <v>0</v>
      </c>
      <c r="H19" s="234"/>
      <c r="I19" s="234">
        <v>0.01</v>
      </c>
      <c r="J19" s="234">
        <v>0.02</v>
      </c>
    </row>
    <row r="20" spans="1:10" ht="21" x14ac:dyDescent="0.25">
      <c r="A20" s="232">
        <v>11</v>
      </c>
      <c r="B20" s="232" t="s">
        <v>634</v>
      </c>
      <c r="C20" s="233" t="s">
        <v>829</v>
      </c>
      <c r="D20" s="232" t="s">
        <v>282</v>
      </c>
      <c r="E20" s="234">
        <v>4</v>
      </c>
      <c r="F20" s="310"/>
      <c r="G20" s="234">
        <f t="shared" si="0"/>
        <v>0</v>
      </c>
      <c r="H20" s="234"/>
      <c r="I20" s="234">
        <v>0.01</v>
      </c>
      <c r="J20" s="234">
        <v>0.04</v>
      </c>
    </row>
    <row r="21" spans="1:10" x14ac:dyDescent="0.25">
      <c r="A21" s="232">
        <v>12</v>
      </c>
      <c r="B21" s="232" t="s">
        <v>830</v>
      </c>
      <c r="C21" s="233" t="s">
        <v>831</v>
      </c>
      <c r="D21" s="232" t="s">
        <v>524</v>
      </c>
      <c r="E21" s="234">
        <v>2</v>
      </c>
      <c r="F21" s="310"/>
      <c r="G21" s="234">
        <f t="shared" si="0"/>
        <v>0</v>
      </c>
      <c r="H21" s="234"/>
      <c r="I21" s="234">
        <v>0.01</v>
      </c>
      <c r="J21" s="234">
        <v>0.02</v>
      </c>
    </row>
    <row r="22" spans="1:10" x14ac:dyDescent="0.25">
      <c r="A22" s="232">
        <v>13</v>
      </c>
      <c r="B22" s="232" t="s">
        <v>832</v>
      </c>
      <c r="C22" s="233" t="s">
        <v>833</v>
      </c>
      <c r="D22" s="232" t="s">
        <v>524</v>
      </c>
      <c r="E22" s="234">
        <v>3</v>
      </c>
      <c r="F22" s="310"/>
      <c r="G22" s="234">
        <f t="shared" si="0"/>
        <v>0</v>
      </c>
      <c r="H22" s="234"/>
      <c r="I22" s="234">
        <v>0.01</v>
      </c>
      <c r="J22" s="234">
        <v>0.03</v>
      </c>
    </row>
    <row r="23" spans="1:10" ht="21" x14ac:dyDescent="0.25">
      <c r="A23" s="232">
        <v>14</v>
      </c>
      <c r="B23" s="232" t="s">
        <v>834</v>
      </c>
      <c r="C23" s="233" t="s">
        <v>835</v>
      </c>
      <c r="D23" s="232" t="s">
        <v>523</v>
      </c>
      <c r="E23" s="234">
        <v>1.95</v>
      </c>
      <c r="F23" s="310"/>
      <c r="G23" s="234">
        <f t="shared" si="0"/>
        <v>0</v>
      </c>
      <c r="H23" s="234"/>
      <c r="I23" s="234"/>
      <c r="J23" s="234"/>
    </row>
    <row r="24" spans="1:10" x14ac:dyDescent="0.25">
      <c r="A24" s="232">
        <v>15</v>
      </c>
      <c r="B24" s="232" t="s">
        <v>635</v>
      </c>
      <c r="C24" s="233" t="s">
        <v>636</v>
      </c>
      <c r="D24" s="232" t="s">
        <v>282</v>
      </c>
      <c r="E24" s="234">
        <v>3</v>
      </c>
      <c r="F24" s="310"/>
      <c r="G24" s="234">
        <f t="shared" si="0"/>
        <v>0</v>
      </c>
      <c r="H24" s="234"/>
      <c r="I24" s="234">
        <v>1.187E-2</v>
      </c>
      <c r="J24" s="234">
        <v>3.5999999999999997E-2</v>
      </c>
    </row>
    <row r="25" spans="1:10" x14ac:dyDescent="0.25">
      <c r="A25" s="232">
        <v>16</v>
      </c>
      <c r="B25" s="232" t="s">
        <v>637</v>
      </c>
      <c r="C25" s="233" t="s">
        <v>638</v>
      </c>
      <c r="D25" s="232" t="s">
        <v>282</v>
      </c>
      <c r="E25" s="234">
        <v>11</v>
      </c>
      <c r="F25" s="310"/>
      <c r="G25" s="234">
        <f t="shared" si="0"/>
        <v>0</v>
      </c>
      <c r="H25" s="234"/>
      <c r="I25" s="234">
        <v>1.133E-2</v>
      </c>
      <c r="J25" s="234">
        <v>0.125</v>
      </c>
    </row>
    <row r="26" spans="1:10" x14ac:dyDescent="0.25">
      <c r="A26" s="232">
        <v>17</v>
      </c>
      <c r="B26" s="232" t="s">
        <v>639</v>
      </c>
      <c r="C26" s="233" t="s">
        <v>836</v>
      </c>
      <c r="D26" s="232" t="s">
        <v>282</v>
      </c>
      <c r="E26" s="234">
        <v>4</v>
      </c>
      <c r="F26" s="310"/>
      <c r="G26" s="234">
        <f t="shared" si="0"/>
        <v>0</v>
      </c>
      <c r="H26" s="234"/>
      <c r="I26" s="234">
        <v>0.01</v>
      </c>
      <c r="J26" s="234">
        <v>0.04</v>
      </c>
    </row>
    <row r="27" spans="1:10" x14ac:dyDescent="0.25">
      <c r="A27" s="232">
        <v>18</v>
      </c>
      <c r="B27" s="232" t="s">
        <v>640</v>
      </c>
      <c r="C27" s="233" t="s">
        <v>837</v>
      </c>
      <c r="D27" s="232" t="s">
        <v>282</v>
      </c>
      <c r="E27" s="234">
        <v>10</v>
      </c>
      <c r="F27" s="310"/>
      <c r="G27" s="234">
        <f t="shared" si="0"/>
        <v>0</v>
      </c>
      <c r="H27" s="234"/>
      <c r="I27" s="234">
        <v>2E-3</v>
      </c>
      <c r="J27" s="234">
        <v>0.02</v>
      </c>
    </row>
    <row r="28" spans="1:10" x14ac:dyDescent="0.25">
      <c r="A28" s="232">
        <v>19</v>
      </c>
      <c r="B28" s="232" t="s">
        <v>641</v>
      </c>
      <c r="C28" s="233" t="s">
        <v>838</v>
      </c>
      <c r="D28" s="232" t="s">
        <v>524</v>
      </c>
      <c r="E28" s="234">
        <v>5</v>
      </c>
      <c r="F28" s="310"/>
      <c r="G28" s="234">
        <f t="shared" si="0"/>
        <v>0</v>
      </c>
      <c r="H28" s="234"/>
      <c r="I28" s="234">
        <v>1E-3</v>
      </c>
      <c r="J28" s="234">
        <v>5.0000000000000001E-3</v>
      </c>
    </row>
    <row r="29" spans="1:10" x14ac:dyDescent="0.25">
      <c r="A29" s="232">
        <v>20</v>
      </c>
      <c r="B29" s="232" t="s">
        <v>642</v>
      </c>
      <c r="C29" s="233" t="s">
        <v>643</v>
      </c>
      <c r="D29" s="232" t="s">
        <v>282</v>
      </c>
      <c r="E29" s="234">
        <v>11</v>
      </c>
      <c r="F29" s="310"/>
      <c r="G29" s="234">
        <f t="shared" si="0"/>
        <v>0</v>
      </c>
      <c r="H29" s="234"/>
      <c r="I29" s="234">
        <v>9.2000000000000003E-4</v>
      </c>
      <c r="J29" s="234">
        <v>0.01</v>
      </c>
    </row>
    <row r="30" spans="1:10" x14ac:dyDescent="0.25">
      <c r="A30" s="232">
        <v>21</v>
      </c>
      <c r="B30" s="232" t="s">
        <v>644</v>
      </c>
      <c r="C30" s="233" t="s">
        <v>645</v>
      </c>
      <c r="D30" s="232" t="s">
        <v>282</v>
      </c>
      <c r="E30" s="234">
        <v>7</v>
      </c>
      <c r="F30" s="310"/>
      <c r="G30" s="234">
        <f t="shared" si="0"/>
        <v>0</v>
      </c>
      <c r="H30" s="234"/>
      <c r="I30" s="234">
        <v>1.0499999999999999E-3</v>
      </c>
      <c r="J30" s="234">
        <v>7.0000000000000001E-3</v>
      </c>
    </row>
    <row r="31" spans="1:10" x14ac:dyDescent="0.25">
      <c r="A31" s="232">
        <v>22</v>
      </c>
      <c r="B31" s="232" t="s">
        <v>646</v>
      </c>
      <c r="C31" s="233" t="s">
        <v>647</v>
      </c>
      <c r="D31" s="232" t="s">
        <v>524</v>
      </c>
      <c r="E31" s="234">
        <v>10</v>
      </c>
      <c r="F31" s="310"/>
      <c r="G31" s="234">
        <f t="shared" si="0"/>
        <v>0</v>
      </c>
      <c r="H31" s="234"/>
      <c r="I31" s="234"/>
      <c r="J31" s="234"/>
    </row>
    <row r="32" spans="1:10" x14ac:dyDescent="0.25">
      <c r="A32" s="232">
        <v>23</v>
      </c>
      <c r="B32" s="232" t="s">
        <v>648</v>
      </c>
      <c r="C32" s="233" t="s">
        <v>649</v>
      </c>
      <c r="D32" s="232" t="s">
        <v>524</v>
      </c>
      <c r="E32" s="234">
        <v>4</v>
      </c>
      <c r="F32" s="310"/>
      <c r="G32" s="234">
        <f t="shared" si="0"/>
        <v>0</v>
      </c>
      <c r="H32" s="234"/>
      <c r="I32" s="234"/>
      <c r="J32" s="234"/>
    </row>
    <row r="33" spans="1:10" x14ac:dyDescent="0.25">
      <c r="A33" s="232">
        <v>24</v>
      </c>
      <c r="B33" s="232" t="s">
        <v>650</v>
      </c>
      <c r="C33" s="233" t="s">
        <v>651</v>
      </c>
      <c r="D33" s="232" t="s">
        <v>524</v>
      </c>
      <c r="E33" s="234">
        <v>7</v>
      </c>
      <c r="F33" s="310"/>
      <c r="G33" s="234">
        <f t="shared" si="0"/>
        <v>0</v>
      </c>
      <c r="H33" s="234"/>
      <c r="I33" s="234"/>
      <c r="J33" s="234"/>
    </row>
    <row r="34" spans="1:10" x14ac:dyDescent="0.25">
      <c r="A34" s="232">
        <v>25</v>
      </c>
      <c r="B34" s="232" t="s">
        <v>839</v>
      </c>
      <c r="C34" s="233" t="s">
        <v>840</v>
      </c>
      <c r="D34" s="232" t="s">
        <v>524</v>
      </c>
      <c r="E34" s="234">
        <v>2</v>
      </c>
      <c r="F34" s="310"/>
      <c r="G34" s="234">
        <f t="shared" si="0"/>
        <v>0</v>
      </c>
      <c r="H34" s="234"/>
      <c r="I34" s="234">
        <v>6.4999999999999997E-4</v>
      </c>
      <c r="J34" s="234">
        <v>1E-3</v>
      </c>
    </row>
    <row r="35" spans="1:10" ht="21" x14ac:dyDescent="0.25">
      <c r="A35" s="232">
        <v>26</v>
      </c>
      <c r="B35" s="232" t="s">
        <v>841</v>
      </c>
      <c r="C35" s="233" t="s">
        <v>842</v>
      </c>
      <c r="D35" s="232" t="s">
        <v>524</v>
      </c>
      <c r="E35" s="234">
        <v>5</v>
      </c>
      <c r="F35" s="310"/>
      <c r="G35" s="234">
        <f t="shared" si="0"/>
        <v>0</v>
      </c>
      <c r="H35" s="234"/>
      <c r="I35" s="234">
        <v>1E-3</v>
      </c>
      <c r="J35" s="234">
        <v>5.0000000000000001E-3</v>
      </c>
    </row>
    <row r="36" spans="1:10" x14ac:dyDescent="0.25">
      <c r="A36" s="232">
        <v>27</v>
      </c>
      <c r="B36" s="232" t="s">
        <v>843</v>
      </c>
      <c r="C36" s="233" t="s">
        <v>844</v>
      </c>
      <c r="D36" s="232" t="s">
        <v>544</v>
      </c>
      <c r="E36" s="234">
        <v>5</v>
      </c>
      <c r="F36" s="310"/>
      <c r="G36" s="234">
        <f t="shared" si="0"/>
        <v>0</v>
      </c>
      <c r="H36" s="234"/>
      <c r="I36" s="234">
        <v>1E-3</v>
      </c>
      <c r="J36" s="234">
        <v>5.0000000000000001E-3</v>
      </c>
    </row>
    <row r="37" spans="1:10" x14ac:dyDescent="0.25">
      <c r="A37" s="232">
        <v>28</v>
      </c>
      <c r="B37" s="232" t="s">
        <v>845</v>
      </c>
      <c r="C37" s="233" t="s">
        <v>846</v>
      </c>
      <c r="D37" s="232" t="s">
        <v>522</v>
      </c>
      <c r="E37" s="234">
        <v>1</v>
      </c>
      <c r="F37" s="310"/>
      <c r="G37" s="234">
        <f t="shared" si="0"/>
        <v>0</v>
      </c>
      <c r="H37" s="234"/>
      <c r="I37" s="234">
        <v>1E-3</v>
      </c>
      <c r="J37" s="234">
        <v>1E-3</v>
      </c>
    </row>
    <row r="38" spans="1:10" x14ac:dyDescent="0.25">
      <c r="A38" s="232">
        <v>29</v>
      </c>
      <c r="B38" s="232" t="s">
        <v>652</v>
      </c>
      <c r="C38" s="233" t="s">
        <v>847</v>
      </c>
      <c r="D38" s="232" t="s">
        <v>524</v>
      </c>
      <c r="E38" s="234">
        <v>3</v>
      </c>
      <c r="F38" s="310"/>
      <c r="G38" s="234">
        <f t="shared" si="0"/>
        <v>0</v>
      </c>
      <c r="H38" s="234"/>
      <c r="I38" s="234">
        <v>4.8199999999999996E-3</v>
      </c>
      <c r="J38" s="234">
        <v>0.01</v>
      </c>
    </row>
    <row r="39" spans="1:10" ht="21" x14ac:dyDescent="0.25">
      <c r="A39" s="232">
        <v>30</v>
      </c>
      <c r="B39" s="232" t="s">
        <v>653</v>
      </c>
      <c r="C39" s="233" t="s">
        <v>848</v>
      </c>
      <c r="D39" s="232" t="s">
        <v>522</v>
      </c>
      <c r="E39" s="234">
        <v>1</v>
      </c>
      <c r="F39" s="310"/>
      <c r="G39" s="234">
        <f t="shared" si="0"/>
        <v>0</v>
      </c>
      <c r="H39" s="234"/>
      <c r="I39" s="234">
        <v>1E-3</v>
      </c>
      <c r="J39" s="234">
        <v>1E-3</v>
      </c>
    </row>
    <row r="40" spans="1:10" x14ac:dyDescent="0.25">
      <c r="A40" s="232">
        <v>31</v>
      </c>
      <c r="B40" s="232" t="s">
        <v>654</v>
      </c>
      <c r="C40" s="233" t="s">
        <v>849</v>
      </c>
      <c r="D40" s="232" t="s">
        <v>524</v>
      </c>
      <c r="E40" s="234">
        <v>6</v>
      </c>
      <c r="F40" s="310"/>
      <c r="G40" s="234">
        <f t="shared" si="0"/>
        <v>0</v>
      </c>
      <c r="H40" s="234"/>
      <c r="I40" s="234">
        <v>5.6499999999999996E-3</v>
      </c>
      <c r="J40" s="234">
        <v>3.4000000000000002E-2</v>
      </c>
    </row>
    <row r="41" spans="1:10" x14ac:dyDescent="0.25">
      <c r="A41" s="232">
        <v>32</v>
      </c>
      <c r="B41" s="232" t="s">
        <v>850</v>
      </c>
      <c r="C41" s="233" t="s">
        <v>851</v>
      </c>
      <c r="D41" s="232" t="s">
        <v>522</v>
      </c>
      <c r="E41" s="234">
        <v>1</v>
      </c>
      <c r="F41" s="310"/>
      <c r="G41" s="234">
        <f t="shared" si="0"/>
        <v>0</v>
      </c>
      <c r="H41" s="234"/>
      <c r="I41" s="234"/>
      <c r="J41" s="234"/>
    </row>
    <row r="42" spans="1:10" x14ac:dyDescent="0.25">
      <c r="A42" s="232">
        <v>33</v>
      </c>
      <c r="B42" s="232" t="s">
        <v>655</v>
      </c>
      <c r="C42" s="233" t="s">
        <v>852</v>
      </c>
      <c r="D42" s="232" t="s">
        <v>282</v>
      </c>
      <c r="E42" s="234">
        <v>36</v>
      </c>
      <c r="F42" s="310"/>
      <c r="G42" s="234">
        <f t="shared" si="0"/>
        <v>0</v>
      </c>
      <c r="H42" s="234"/>
      <c r="I42" s="234"/>
      <c r="J42" s="234"/>
    </row>
    <row r="43" spans="1:10" x14ac:dyDescent="0.25">
      <c r="A43" s="232">
        <v>34</v>
      </c>
      <c r="B43" s="232" t="s">
        <v>656</v>
      </c>
      <c r="C43" s="233" t="s">
        <v>657</v>
      </c>
      <c r="D43" s="232" t="s">
        <v>524</v>
      </c>
      <c r="E43" s="234">
        <v>7</v>
      </c>
      <c r="F43" s="310"/>
      <c r="G43" s="234">
        <f t="shared" si="0"/>
        <v>0</v>
      </c>
      <c r="H43" s="234"/>
      <c r="I43" s="234">
        <v>1E-3</v>
      </c>
      <c r="J43" s="234">
        <v>7.0000000000000001E-3</v>
      </c>
    </row>
    <row r="44" spans="1:10" x14ac:dyDescent="0.25">
      <c r="A44" s="232">
        <v>35</v>
      </c>
      <c r="B44" s="232" t="s">
        <v>658</v>
      </c>
      <c r="C44" s="233" t="s">
        <v>659</v>
      </c>
      <c r="D44" s="232" t="s">
        <v>526</v>
      </c>
      <c r="E44" s="234">
        <v>5.25</v>
      </c>
      <c r="F44" s="310"/>
      <c r="G44" s="234">
        <f t="shared" si="0"/>
        <v>0</v>
      </c>
      <c r="H44" s="234"/>
      <c r="I44" s="234"/>
      <c r="J44" s="234"/>
    </row>
    <row r="45" spans="1:10" x14ac:dyDescent="0.25">
      <c r="A45" s="235"/>
      <c r="B45" s="235" t="s">
        <v>853</v>
      </c>
      <c r="C45" s="236" t="s">
        <v>854</v>
      </c>
      <c r="D45" s="235"/>
      <c r="E45" s="237"/>
      <c r="F45" s="237"/>
      <c r="G45" s="237">
        <f>SUM(G10:G44)</f>
        <v>0</v>
      </c>
      <c r="H45" s="237"/>
      <c r="I45" s="237"/>
      <c r="J45" s="237">
        <v>5.2530000000000001</v>
      </c>
    </row>
    <row r="46" spans="1:10" x14ac:dyDescent="0.25">
      <c r="A46" s="232"/>
      <c r="B46" s="232"/>
      <c r="C46" s="233"/>
      <c r="D46" s="232"/>
      <c r="E46" s="234"/>
      <c r="F46" s="234"/>
      <c r="G46" s="234"/>
      <c r="H46" s="234"/>
      <c r="I46" s="234"/>
      <c r="J46" s="234"/>
    </row>
    <row r="47" spans="1:10" x14ac:dyDescent="0.25">
      <c r="A47" s="232"/>
      <c r="B47" s="232" t="s">
        <v>855</v>
      </c>
      <c r="C47" s="233" t="s">
        <v>660</v>
      </c>
      <c r="D47" s="232"/>
      <c r="E47" s="234"/>
      <c r="F47" s="234"/>
      <c r="G47" s="234"/>
      <c r="H47" s="234"/>
      <c r="I47" s="234"/>
      <c r="J47" s="234"/>
    </row>
    <row r="48" spans="1:10" x14ac:dyDescent="0.25">
      <c r="A48" s="232">
        <v>36</v>
      </c>
      <c r="B48" s="232" t="s">
        <v>661</v>
      </c>
      <c r="C48" s="233" t="s">
        <v>856</v>
      </c>
      <c r="D48" s="232" t="s">
        <v>282</v>
      </c>
      <c r="E48" s="234">
        <v>36</v>
      </c>
      <c r="F48" s="310"/>
      <c r="G48" s="234">
        <f t="shared" ref="G48:G65" si="1">E48*F48</f>
        <v>0</v>
      </c>
      <c r="H48" s="234"/>
      <c r="I48" s="234">
        <v>2E-3</v>
      </c>
      <c r="J48" s="234">
        <v>7.1999999999999995E-2</v>
      </c>
    </row>
    <row r="49" spans="1:10" x14ac:dyDescent="0.25">
      <c r="A49" s="232">
        <v>37</v>
      </c>
      <c r="B49" s="232" t="s">
        <v>857</v>
      </c>
      <c r="C49" s="233" t="s">
        <v>858</v>
      </c>
      <c r="D49" s="232" t="s">
        <v>282</v>
      </c>
      <c r="E49" s="234">
        <v>30</v>
      </c>
      <c r="F49" s="310"/>
      <c r="G49" s="234">
        <f t="shared" si="1"/>
        <v>0</v>
      </c>
      <c r="H49" s="234"/>
      <c r="I49" s="234">
        <v>2E-3</v>
      </c>
      <c r="J49" s="234">
        <v>0.06</v>
      </c>
    </row>
    <row r="50" spans="1:10" x14ac:dyDescent="0.25">
      <c r="A50" s="232">
        <v>38</v>
      </c>
      <c r="B50" s="232" t="s">
        <v>859</v>
      </c>
      <c r="C50" s="233" t="s">
        <v>860</v>
      </c>
      <c r="D50" s="232" t="s">
        <v>282</v>
      </c>
      <c r="E50" s="234">
        <v>5</v>
      </c>
      <c r="F50" s="310"/>
      <c r="G50" s="234">
        <f t="shared" si="1"/>
        <v>0</v>
      </c>
      <c r="H50" s="234"/>
      <c r="I50" s="234">
        <v>2E-3</v>
      </c>
      <c r="J50" s="234">
        <v>0.01</v>
      </c>
    </row>
    <row r="51" spans="1:10" ht="21" x14ac:dyDescent="0.25">
      <c r="A51" s="232">
        <v>39</v>
      </c>
      <c r="B51" s="232" t="s">
        <v>662</v>
      </c>
      <c r="C51" s="233" t="s">
        <v>861</v>
      </c>
      <c r="D51" s="232" t="s">
        <v>524</v>
      </c>
      <c r="E51" s="234">
        <v>1</v>
      </c>
      <c r="F51" s="310"/>
      <c r="G51" s="234">
        <f t="shared" si="1"/>
        <v>0</v>
      </c>
      <c r="H51" s="234"/>
      <c r="I51" s="234">
        <v>1E-3</v>
      </c>
      <c r="J51" s="234">
        <v>1E-3</v>
      </c>
    </row>
    <row r="52" spans="1:10" x14ac:dyDescent="0.25">
      <c r="A52" s="232">
        <v>40</v>
      </c>
      <c r="B52" s="232" t="s">
        <v>862</v>
      </c>
      <c r="C52" s="233" t="s">
        <v>863</v>
      </c>
      <c r="D52" s="232" t="s">
        <v>544</v>
      </c>
      <c r="E52" s="234">
        <v>12</v>
      </c>
      <c r="F52" s="310"/>
      <c r="G52" s="234">
        <f t="shared" si="1"/>
        <v>0</v>
      </c>
      <c r="H52" s="234"/>
      <c r="I52" s="234">
        <v>1E-3</v>
      </c>
      <c r="J52" s="234">
        <v>1.2E-2</v>
      </c>
    </row>
    <row r="53" spans="1:10" x14ac:dyDescent="0.25">
      <c r="A53" s="232">
        <v>41</v>
      </c>
      <c r="B53" s="232" t="s">
        <v>663</v>
      </c>
      <c r="C53" s="233" t="s">
        <v>864</v>
      </c>
      <c r="D53" s="232" t="s">
        <v>282</v>
      </c>
      <c r="E53" s="234">
        <v>71</v>
      </c>
      <c r="F53" s="310"/>
      <c r="G53" s="234">
        <f t="shared" si="1"/>
        <v>0</v>
      </c>
      <c r="H53" s="234"/>
      <c r="I53" s="234">
        <v>1E-3</v>
      </c>
      <c r="J53" s="234">
        <v>7.0999999999999994E-2</v>
      </c>
    </row>
    <row r="54" spans="1:10" x14ac:dyDescent="0.25">
      <c r="A54" s="232">
        <v>42</v>
      </c>
      <c r="B54" s="232" t="s">
        <v>664</v>
      </c>
      <c r="C54" s="233" t="s">
        <v>665</v>
      </c>
      <c r="D54" s="232" t="s">
        <v>524</v>
      </c>
      <c r="E54" s="234">
        <v>36</v>
      </c>
      <c r="F54" s="310"/>
      <c r="G54" s="234">
        <f t="shared" si="1"/>
        <v>0</v>
      </c>
      <c r="H54" s="234"/>
      <c r="I54" s="234">
        <v>8.3000000000000001E-4</v>
      </c>
      <c r="J54" s="234">
        <v>0.03</v>
      </c>
    </row>
    <row r="55" spans="1:10" x14ac:dyDescent="0.25">
      <c r="A55" s="232">
        <v>43</v>
      </c>
      <c r="B55" s="232" t="s">
        <v>865</v>
      </c>
      <c r="C55" s="233" t="s">
        <v>866</v>
      </c>
      <c r="D55" s="232" t="s">
        <v>524</v>
      </c>
      <c r="E55" s="234">
        <v>1</v>
      </c>
      <c r="F55" s="310"/>
      <c r="G55" s="234">
        <f t="shared" si="1"/>
        <v>0</v>
      </c>
      <c r="H55" s="234"/>
      <c r="I55" s="234">
        <v>1E-3</v>
      </c>
      <c r="J55" s="234">
        <v>1E-3</v>
      </c>
    </row>
    <row r="56" spans="1:10" x14ac:dyDescent="0.25">
      <c r="A56" s="232">
        <v>44</v>
      </c>
      <c r="B56" s="232" t="s">
        <v>867</v>
      </c>
      <c r="C56" s="233" t="s">
        <v>868</v>
      </c>
      <c r="D56" s="232" t="s">
        <v>524</v>
      </c>
      <c r="E56" s="234">
        <v>1</v>
      </c>
      <c r="F56" s="310"/>
      <c r="G56" s="234">
        <f t="shared" si="1"/>
        <v>0</v>
      </c>
      <c r="H56" s="234"/>
      <c r="I56" s="234">
        <v>1E-3</v>
      </c>
      <c r="J56" s="234">
        <v>1E-3</v>
      </c>
    </row>
    <row r="57" spans="1:10" x14ac:dyDescent="0.25">
      <c r="A57" s="232">
        <v>45</v>
      </c>
      <c r="B57" s="232" t="s">
        <v>869</v>
      </c>
      <c r="C57" s="233" t="s">
        <v>870</v>
      </c>
      <c r="D57" s="232" t="s">
        <v>524</v>
      </c>
      <c r="E57" s="234">
        <v>4</v>
      </c>
      <c r="F57" s="310"/>
      <c r="G57" s="234">
        <f t="shared" si="1"/>
        <v>0</v>
      </c>
      <c r="H57" s="234"/>
      <c r="I57" s="234">
        <v>1E-3</v>
      </c>
      <c r="J57" s="234">
        <v>4.0000000000000001E-3</v>
      </c>
    </row>
    <row r="58" spans="1:10" x14ac:dyDescent="0.25">
      <c r="A58" s="232">
        <v>46</v>
      </c>
      <c r="B58" s="232" t="s">
        <v>871</v>
      </c>
      <c r="C58" s="233" t="s">
        <v>872</v>
      </c>
      <c r="D58" s="232" t="s">
        <v>524</v>
      </c>
      <c r="E58" s="234">
        <v>2</v>
      </c>
      <c r="F58" s="310"/>
      <c r="G58" s="234">
        <f t="shared" si="1"/>
        <v>0</v>
      </c>
      <c r="H58" s="234"/>
      <c r="I58" s="234">
        <v>1E-3</v>
      </c>
      <c r="J58" s="234">
        <v>2E-3</v>
      </c>
    </row>
    <row r="59" spans="1:10" ht="21" x14ac:dyDescent="0.25">
      <c r="A59" s="232">
        <v>47</v>
      </c>
      <c r="B59" s="232" t="s">
        <v>873</v>
      </c>
      <c r="C59" s="233" t="s">
        <v>874</v>
      </c>
      <c r="D59" s="232" t="s">
        <v>522</v>
      </c>
      <c r="E59" s="234">
        <v>2</v>
      </c>
      <c r="F59" s="310"/>
      <c r="G59" s="234">
        <f t="shared" si="1"/>
        <v>0</v>
      </c>
      <c r="H59" s="234"/>
      <c r="I59" s="234">
        <v>0.02</v>
      </c>
      <c r="J59" s="234">
        <v>0.04</v>
      </c>
    </row>
    <row r="60" spans="1:10" x14ac:dyDescent="0.25">
      <c r="A60" s="232">
        <v>48</v>
      </c>
      <c r="B60" s="232" t="s">
        <v>666</v>
      </c>
      <c r="C60" s="233" t="s">
        <v>657</v>
      </c>
      <c r="D60" s="232" t="s">
        <v>524</v>
      </c>
      <c r="E60" s="234">
        <v>7</v>
      </c>
      <c r="F60" s="310"/>
      <c r="G60" s="234">
        <f t="shared" si="1"/>
        <v>0</v>
      </c>
      <c r="H60" s="234"/>
      <c r="I60" s="234">
        <v>0.01</v>
      </c>
      <c r="J60" s="234">
        <v>7.0000000000000007E-2</v>
      </c>
    </row>
    <row r="61" spans="1:10" ht="21" x14ac:dyDescent="0.25">
      <c r="A61" s="232">
        <v>49</v>
      </c>
      <c r="B61" s="232" t="s">
        <v>667</v>
      </c>
      <c r="C61" s="233" t="s">
        <v>875</v>
      </c>
      <c r="D61" s="232" t="s">
        <v>282</v>
      </c>
      <c r="E61" s="234">
        <v>20</v>
      </c>
      <c r="F61" s="310"/>
      <c r="G61" s="234">
        <f t="shared" si="1"/>
        <v>0</v>
      </c>
      <c r="H61" s="234"/>
      <c r="I61" s="234">
        <v>1E-3</v>
      </c>
      <c r="J61" s="234">
        <v>0.02</v>
      </c>
    </row>
    <row r="62" spans="1:10" x14ac:dyDescent="0.25">
      <c r="A62" s="232">
        <v>50</v>
      </c>
      <c r="B62" s="232" t="s">
        <v>668</v>
      </c>
      <c r="C62" s="233" t="s">
        <v>669</v>
      </c>
      <c r="D62" s="232" t="s">
        <v>282</v>
      </c>
      <c r="E62" s="234">
        <v>71</v>
      </c>
      <c r="F62" s="310"/>
      <c r="G62" s="234">
        <f t="shared" si="1"/>
        <v>0</v>
      </c>
      <c r="H62" s="234"/>
      <c r="I62" s="234">
        <v>1.8000000000000001E-4</v>
      </c>
      <c r="J62" s="234">
        <v>1.2999999999999999E-2</v>
      </c>
    </row>
    <row r="63" spans="1:10" x14ac:dyDescent="0.25">
      <c r="A63" s="232">
        <v>51</v>
      </c>
      <c r="B63" s="232" t="s">
        <v>670</v>
      </c>
      <c r="C63" s="233" t="s">
        <v>876</v>
      </c>
      <c r="D63" s="232" t="s">
        <v>282</v>
      </c>
      <c r="E63" s="234">
        <v>71</v>
      </c>
      <c r="F63" s="310"/>
      <c r="G63" s="234">
        <f t="shared" si="1"/>
        <v>0</v>
      </c>
      <c r="H63" s="234"/>
      <c r="I63" s="234">
        <v>1E-3</v>
      </c>
      <c r="J63" s="234">
        <v>7.0999999999999994E-2</v>
      </c>
    </row>
    <row r="64" spans="1:10" x14ac:dyDescent="0.25">
      <c r="A64" s="232">
        <v>52</v>
      </c>
      <c r="B64" s="232" t="s">
        <v>877</v>
      </c>
      <c r="C64" s="233" t="s">
        <v>878</v>
      </c>
      <c r="D64" s="232" t="s">
        <v>524</v>
      </c>
      <c r="E64" s="234">
        <v>5</v>
      </c>
      <c r="F64" s="310"/>
      <c r="G64" s="234">
        <f t="shared" si="1"/>
        <v>0</v>
      </c>
      <c r="H64" s="234"/>
      <c r="I64" s="234">
        <v>1E-3</v>
      </c>
      <c r="J64" s="234">
        <v>5.0000000000000001E-3</v>
      </c>
    </row>
    <row r="65" spans="1:10" x14ac:dyDescent="0.25">
      <c r="A65" s="232">
        <v>53</v>
      </c>
      <c r="B65" s="232" t="s">
        <v>671</v>
      </c>
      <c r="C65" s="233" t="s">
        <v>879</v>
      </c>
      <c r="D65" s="232" t="s">
        <v>526</v>
      </c>
      <c r="E65" s="234">
        <v>0.48</v>
      </c>
      <c r="F65" s="310"/>
      <c r="G65" s="234">
        <f t="shared" si="1"/>
        <v>0</v>
      </c>
      <c r="H65" s="234"/>
      <c r="I65" s="234"/>
      <c r="J65" s="234"/>
    </row>
    <row r="66" spans="1:10" x14ac:dyDescent="0.25">
      <c r="A66" s="235"/>
      <c r="B66" s="235" t="s">
        <v>880</v>
      </c>
      <c r="C66" s="236" t="s">
        <v>672</v>
      </c>
      <c r="D66" s="235"/>
      <c r="E66" s="237"/>
      <c r="F66" s="237"/>
      <c r="G66" s="237">
        <f>SUM(G48:G65)</f>
        <v>0</v>
      </c>
      <c r="H66" s="237"/>
      <c r="I66" s="237"/>
      <c r="J66" s="237">
        <v>0.48299999999999998</v>
      </c>
    </row>
    <row r="67" spans="1:10" x14ac:dyDescent="0.25">
      <c r="A67" s="232"/>
      <c r="B67" s="232"/>
      <c r="C67" s="233"/>
      <c r="D67" s="232"/>
      <c r="E67" s="234"/>
      <c r="F67" s="234"/>
      <c r="G67" s="234"/>
      <c r="H67" s="234"/>
      <c r="I67" s="234"/>
      <c r="J67" s="234"/>
    </row>
    <row r="68" spans="1:10" x14ac:dyDescent="0.25">
      <c r="A68" s="232"/>
      <c r="B68" s="232" t="s">
        <v>684</v>
      </c>
      <c r="C68" s="233" t="s">
        <v>674</v>
      </c>
      <c r="D68" s="232"/>
      <c r="E68" s="234"/>
      <c r="F68" s="234"/>
      <c r="G68" s="234"/>
      <c r="H68" s="234"/>
      <c r="I68" s="234"/>
      <c r="J68" s="234"/>
    </row>
    <row r="69" spans="1:10" x14ac:dyDescent="0.25">
      <c r="A69" s="232">
        <v>54</v>
      </c>
      <c r="B69" s="232" t="s">
        <v>675</v>
      </c>
      <c r="C69" s="233" t="s">
        <v>676</v>
      </c>
      <c r="D69" s="232" t="s">
        <v>524</v>
      </c>
      <c r="E69" s="234">
        <v>7</v>
      </c>
      <c r="F69" s="310"/>
      <c r="G69" s="234">
        <f t="shared" ref="G69" si="2">E69*F69</f>
        <v>0</v>
      </c>
      <c r="H69" s="234"/>
      <c r="I69" s="234">
        <v>2.0400000000000001E-3</v>
      </c>
      <c r="J69" s="234">
        <v>1.4E-2</v>
      </c>
    </row>
    <row r="70" spans="1:10" x14ac:dyDescent="0.25">
      <c r="A70" s="232">
        <v>55</v>
      </c>
      <c r="B70" s="232" t="s">
        <v>677</v>
      </c>
      <c r="C70" s="233" t="s">
        <v>881</v>
      </c>
      <c r="D70" s="232" t="s">
        <v>524</v>
      </c>
      <c r="E70" s="234">
        <v>7</v>
      </c>
      <c r="F70" s="310"/>
      <c r="G70" s="234"/>
      <c r="H70" s="234">
        <f>E70*F70</f>
        <v>0</v>
      </c>
      <c r="I70" s="234">
        <v>0.05</v>
      </c>
      <c r="J70" s="234">
        <v>0.35</v>
      </c>
    </row>
    <row r="71" spans="1:10" x14ac:dyDescent="0.25">
      <c r="A71" s="232">
        <v>56</v>
      </c>
      <c r="B71" s="232" t="s">
        <v>678</v>
      </c>
      <c r="C71" s="233" t="s">
        <v>882</v>
      </c>
      <c r="D71" s="232" t="s">
        <v>524</v>
      </c>
      <c r="E71" s="234">
        <v>1</v>
      </c>
      <c r="F71" s="310"/>
      <c r="G71" s="234"/>
      <c r="H71" s="234">
        <f t="shared" ref="H71:H74" si="3">E71*F71</f>
        <v>0</v>
      </c>
      <c r="I71" s="234">
        <v>0.03</v>
      </c>
      <c r="J71" s="234">
        <v>0.03</v>
      </c>
    </row>
    <row r="72" spans="1:10" x14ac:dyDescent="0.25">
      <c r="A72" s="232">
        <v>57</v>
      </c>
      <c r="B72" s="232" t="s">
        <v>679</v>
      </c>
      <c r="C72" s="233" t="s">
        <v>883</v>
      </c>
      <c r="D72" s="232" t="s">
        <v>524</v>
      </c>
      <c r="E72" s="234">
        <v>5</v>
      </c>
      <c r="F72" s="310"/>
      <c r="G72" s="234"/>
      <c r="H72" s="234">
        <f t="shared" si="3"/>
        <v>0</v>
      </c>
      <c r="I72" s="234">
        <v>0.03</v>
      </c>
      <c r="J72" s="234">
        <v>0.15</v>
      </c>
    </row>
    <row r="73" spans="1:10" x14ac:dyDescent="0.25">
      <c r="A73" s="232">
        <v>58</v>
      </c>
      <c r="B73" s="232" t="s">
        <v>682</v>
      </c>
      <c r="C73" s="233" t="s">
        <v>884</v>
      </c>
      <c r="D73" s="232" t="s">
        <v>524</v>
      </c>
      <c r="E73" s="234">
        <v>1</v>
      </c>
      <c r="F73" s="310"/>
      <c r="G73" s="234"/>
      <c r="H73" s="234">
        <f t="shared" si="3"/>
        <v>0</v>
      </c>
      <c r="I73" s="234">
        <v>0.02</v>
      </c>
      <c r="J73" s="234">
        <v>0.02</v>
      </c>
    </row>
    <row r="74" spans="1:10" x14ac:dyDescent="0.25">
      <c r="A74" s="232">
        <v>59</v>
      </c>
      <c r="B74" s="232" t="s">
        <v>885</v>
      </c>
      <c r="C74" s="233" t="s">
        <v>886</v>
      </c>
      <c r="D74" s="232" t="s">
        <v>524</v>
      </c>
      <c r="E74" s="234">
        <v>5</v>
      </c>
      <c r="F74" s="310"/>
      <c r="G74" s="234"/>
      <c r="H74" s="234">
        <f t="shared" si="3"/>
        <v>0</v>
      </c>
      <c r="I74" s="234">
        <v>0.01</v>
      </c>
      <c r="J74" s="234">
        <v>0.05</v>
      </c>
    </row>
    <row r="75" spans="1:10" x14ac:dyDescent="0.25">
      <c r="A75" s="232">
        <v>60</v>
      </c>
      <c r="B75" s="232" t="s">
        <v>887</v>
      </c>
      <c r="C75" s="233" t="s">
        <v>888</v>
      </c>
      <c r="D75" s="232" t="s">
        <v>524</v>
      </c>
      <c r="E75" s="234">
        <v>2</v>
      </c>
      <c r="F75" s="310"/>
      <c r="G75" s="234">
        <f t="shared" ref="G75:G77" si="4">E75*F75</f>
        <v>0</v>
      </c>
      <c r="H75" s="234"/>
      <c r="I75" s="234">
        <v>5.8999999999999997E-2</v>
      </c>
      <c r="J75" s="234">
        <v>0.11799999999999999</v>
      </c>
    </row>
    <row r="76" spans="1:10" x14ac:dyDescent="0.25">
      <c r="A76" s="232">
        <v>61</v>
      </c>
      <c r="B76" s="232" t="s">
        <v>889</v>
      </c>
      <c r="C76" s="233" t="s">
        <v>890</v>
      </c>
      <c r="D76" s="232" t="s">
        <v>522</v>
      </c>
      <c r="E76" s="234">
        <v>1</v>
      </c>
      <c r="F76" s="310"/>
      <c r="G76" s="234">
        <f t="shared" si="4"/>
        <v>0</v>
      </c>
      <c r="H76" s="234"/>
      <c r="I76" s="234">
        <v>1E-3</v>
      </c>
      <c r="J76" s="234">
        <v>1E-3</v>
      </c>
    </row>
    <row r="77" spans="1:10" x14ac:dyDescent="0.25">
      <c r="A77" s="232">
        <v>62</v>
      </c>
      <c r="B77" s="232" t="s">
        <v>891</v>
      </c>
      <c r="C77" s="233" t="s">
        <v>892</v>
      </c>
      <c r="D77" s="232" t="s">
        <v>524</v>
      </c>
      <c r="E77" s="234">
        <v>6</v>
      </c>
      <c r="F77" s="310"/>
      <c r="G77" s="234">
        <f t="shared" si="4"/>
        <v>0</v>
      </c>
      <c r="H77" s="234"/>
      <c r="I77" s="234">
        <v>5.0000000000000001E-3</v>
      </c>
      <c r="J77" s="234">
        <v>0.03</v>
      </c>
    </row>
    <row r="78" spans="1:10" x14ac:dyDescent="0.25">
      <c r="A78" s="232">
        <v>63</v>
      </c>
      <c r="B78" s="232" t="s">
        <v>678</v>
      </c>
      <c r="C78" s="233" t="s">
        <v>893</v>
      </c>
      <c r="D78" s="232" t="s">
        <v>524</v>
      </c>
      <c r="E78" s="234">
        <v>1</v>
      </c>
      <c r="F78" s="310"/>
      <c r="G78" s="234"/>
      <c r="H78" s="234">
        <f t="shared" ref="H78:H79" si="5">E78*F78</f>
        <v>0</v>
      </c>
      <c r="I78" s="234">
        <v>5.0000000000000001E-3</v>
      </c>
      <c r="J78" s="234">
        <v>5.0000000000000001E-3</v>
      </c>
    </row>
    <row r="79" spans="1:10" x14ac:dyDescent="0.25">
      <c r="A79" s="232">
        <v>64</v>
      </c>
      <c r="B79" s="232" t="s">
        <v>679</v>
      </c>
      <c r="C79" s="233" t="s">
        <v>894</v>
      </c>
      <c r="D79" s="232" t="s">
        <v>524</v>
      </c>
      <c r="E79" s="234">
        <v>5</v>
      </c>
      <c r="F79" s="310"/>
      <c r="G79" s="234"/>
      <c r="H79" s="234">
        <f t="shared" si="5"/>
        <v>0</v>
      </c>
      <c r="I79" s="234">
        <v>1.2E-2</v>
      </c>
      <c r="J79" s="234">
        <v>0.06</v>
      </c>
    </row>
    <row r="80" spans="1:10" ht="31.2" x14ac:dyDescent="0.25">
      <c r="A80" s="232">
        <v>65</v>
      </c>
      <c r="B80" s="232" t="s">
        <v>895</v>
      </c>
      <c r="C80" s="233" t="s">
        <v>896</v>
      </c>
      <c r="D80" s="232" t="s">
        <v>522</v>
      </c>
      <c r="E80" s="234">
        <v>1</v>
      </c>
      <c r="F80" s="310"/>
      <c r="G80" s="234">
        <f t="shared" ref="G80:G81" si="6">E80*F80</f>
        <v>0</v>
      </c>
      <c r="H80" s="234"/>
      <c r="I80" s="234">
        <v>5.8000000000000003E-2</v>
      </c>
      <c r="J80" s="234">
        <v>5.8000000000000003E-2</v>
      </c>
    </row>
    <row r="81" spans="1:10" x14ac:dyDescent="0.25">
      <c r="A81" s="232">
        <v>66</v>
      </c>
      <c r="B81" s="232" t="s">
        <v>680</v>
      </c>
      <c r="C81" s="233" t="s">
        <v>681</v>
      </c>
      <c r="D81" s="232" t="s">
        <v>524</v>
      </c>
      <c r="E81" s="234">
        <v>3</v>
      </c>
      <c r="F81" s="310"/>
      <c r="G81" s="234">
        <f t="shared" si="6"/>
        <v>0</v>
      </c>
      <c r="H81" s="234"/>
      <c r="I81" s="234">
        <v>1.2E-4</v>
      </c>
      <c r="J81" s="234">
        <v>0</v>
      </c>
    </row>
    <row r="82" spans="1:10" x14ac:dyDescent="0.25">
      <c r="A82" s="232">
        <v>67</v>
      </c>
      <c r="B82" s="232" t="s">
        <v>677</v>
      </c>
      <c r="C82" s="233" t="s">
        <v>897</v>
      </c>
      <c r="D82" s="232" t="s">
        <v>524</v>
      </c>
      <c r="E82" s="234">
        <v>1</v>
      </c>
      <c r="F82" s="310"/>
      <c r="G82" s="234"/>
      <c r="H82" s="234">
        <f t="shared" ref="H82:H84" si="7">E82*F82</f>
        <v>0</v>
      </c>
      <c r="I82" s="234">
        <v>1E-3</v>
      </c>
      <c r="J82" s="234">
        <v>1E-3</v>
      </c>
    </row>
    <row r="83" spans="1:10" x14ac:dyDescent="0.25">
      <c r="A83" s="232">
        <v>68</v>
      </c>
      <c r="B83" s="232" t="s">
        <v>678</v>
      </c>
      <c r="C83" s="233" t="s">
        <v>898</v>
      </c>
      <c r="D83" s="232" t="s">
        <v>524</v>
      </c>
      <c r="E83" s="234">
        <v>1</v>
      </c>
      <c r="F83" s="310"/>
      <c r="G83" s="234"/>
      <c r="H83" s="234">
        <f t="shared" si="7"/>
        <v>0</v>
      </c>
      <c r="I83" s="234">
        <v>1E-3</v>
      </c>
      <c r="J83" s="234">
        <v>1E-3</v>
      </c>
    </row>
    <row r="84" spans="1:10" x14ac:dyDescent="0.25">
      <c r="A84" s="232">
        <v>69</v>
      </c>
      <c r="B84" s="232" t="s">
        <v>679</v>
      </c>
      <c r="C84" s="233" t="s">
        <v>899</v>
      </c>
      <c r="D84" s="232" t="s">
        <v>524</v>
      </c>
      <c r="E84" s="234">
        <v>1</v>
      </c>
      <c r="F84" s="310"/>
      <c r="G84" s="234"/>
      <c r="H84" s="234">
        <f t="shared" si="7"/>
        <v>0</v>
      </c>
      <c r="I84" s="234">
        <v>2E-3</v>
      </c>
      <c r="J84" s="234">
        <v>2E-3</v>
      </c>
    </row>
    <row r="85" spans="1:10" x14ac:dyDescent="0.25">
      <c r="A85" s="232">
        <v>70</v>
      </c>
      <c r="B85" s="232" t="s">
        <v>900</v>
      </c>
      <c r="C85" s="233" t="s">
        <v>901</v>
      </c>
      <c r="D85" s="232" t="s">
        <v>524</v>
      </c>
      <c r="E85" s="234">
        <v>5</v>
      </c>
      <c r="F85" s="310"/>
      <c r="G85" s="234">
        <f t="shared" ref="G85" si="8">E85*F85</f>
        <v>0</v>
      </c>
      <c r="H85" s="234"/>
      <c r="I85" s="234">
        <v>1E-3</v>
      </c>
      <c r="J85" s="234">
        <v>5.0000000000000001E-3</v>
      </c>
    </row>
    <row r="86" spans="1:10" x14ac:dyDescent="0.25">
      <c r="A86" s="232">
        <v>71</v>
      </c>
      <c r="B86" s="232" t="s">
        <v>677</v>
      </c>
      <c r="C86" s="233" t="s">
        <v>902</v>
      </c>
      <c r="D86" s="232" t="s">
        <v>524</v>
      </c>
      <c r="E86" s="234">
        <v>5</v>
      </c>
      <c r="F86" s="310"/>
      <c r="G86" s="234"/>
      <c r="H86" s="234">
        <f t="shared" ref="H86" si="9">E86*F86</f>
        <v>0</v>
      </c>
      <c r="I86" s="234">
        <v>1E-3</v>
      </c>
      <c r="J86" s="234">
        <v>5.0000000000000001E-3</v>
      </c>
    </row>
    <row r="87" spans="1:10" ht="21" x14ac:dyDescent="0.25">
      <c r="A87" s="232">
        <v>72</v>
      </c>
      <c r="B87" s="232" t="s">
        <v>903</v>
      </c>
      <c r="C87" s="233" t="s">
        <v>904</v>
      </c>
      <c r="D87" s="232" t="s">
        <v>522</v>
      </c>
      <c r="E87" s="234">
        <v>1</v>
      </c>
      <c r="F87" s="310"/>
      <c r="G87" s="234">
        <f t="shared" ref="G87:G88" si="10">E87*F87</f>
        <v>0</v>
      </c>
      <c r="H87" s="234"/>
      <c r="I87" s="234">
        <v>1E-3</v>
      </c>
      <c r="J87" s="234">
        <v>1E-3</v>
      </c>
    </row>
    <row r="88" spans="1:10" x14ac:dyDescent="0.25">
      <c r="A88" s="232">
        <v>73</v>
      </c>
      <c r="B88" s="232" t="s">
        <v>683</v>
      </c>
      <c r="C88" s="233" t="s">
        <v>905</v>
      </c>
      <c r="D88" s="232" t="s">
        <v>526</v>
      </c>
      <c r="E88" s="234">
        <v>0.9</v>
      </c>
      <c r="F88" s="310"/>
      <c r="G88" s="234">
        <f t="shared" si="10"/>
        <v>0</v>
      </c>
      <c r="H88" s="234"/>
      <c r="I88" s="234"/>
      <c r="J88" s="234"/>
    </row>
    <row r="89" spans="1:10" x14ac:dyDescent="0.25">
      <c r="A89" s="235"/>
      <c r="B89" s="235" t="s">
        <v>673</v>
      </c>
      <c r="C89" s="236" t="s">
        <v>906</v>
      </c>
      <c r="D89" s="235"/>
      <c r="E89" s="237"/>
      <c r="F89" s="237"/>
      <c r="G89" s="237">
        <f>SUM(G69:G88)</f>
        <v>0</v>
      </c>
      <c r="H89" s="237">
        <f>SUM(H69:H88)</f>
        <v>0</v>
      </c>
      <c r="I89" s="237"/>
      <c r="J89" s="237">
        <v>0.90200000000000002</v>
      </c>
    </row>
    <row r="90" spans="1:10" x14ac:dyDescent="0.25">
      <c r="A90" s="232"/>
      <c r="B90" s="232"/>
      <c r="C90" s="233"/>
      <c r="D90" s="232"/>
      <c r="E90" s="234"/>
      <c r="F90" s="234"/>
      <c r="G90" s="234"/>
      <c r="H90" s="234"/>
      <c r="I90" s="234"/>
      <c r="J90" s="234"/>
    </row>
    <row r="91" spans="1:10" x14ac:dyDescent="0.25">
      <c r="A91" s="232" t="s">
        <v>530</v>
      </c>
      <c r="B91" s="232" t="s">
        <v>598</v>
      </c>
      <c r="C91" s="233" t="s">
        <v>685</v>
      </c>
      <c r="D91" s="232"/>
      <c r="E91" s="234"/>
      <c r="F91" s="234"/>
      <c r="G91" s="234">
        <f>G89+G66+G45</f>
        <v>0</v>
      </c>
      <c r="H91" s="234">
        <f>H89</f>
        <v>0</v>
      </c>
      <c r="I91" s="234"/>
      <c r="J91" s="234">
        <v>6.6369999999999996</v>
      </c>
    </row>
    <row r="92" spans="1:10" x14ac:dyDescent="0.25">
      <c r="A92" s="232"/>
      <c r="B92" s="232"/>
      <c r="C92" s="233"/>
      <c r="D92" s="232"/>
      <c r="E92" s="234"/>
      <c r="F92" s="234"/>
      <c r="G92" s="234"/>
      <c r="H92" s="234"/>
      <c r="I92" s="234"/>
      <c r="J92" s="234"/>
    </row>
    <row r="93" spans="1:10" x14ac:dyDescent="0.25">
      <c r="A93" s="238"/>
      <c r="B93" s="238"/>
      <c r="C93" s="239" t="s">
        <v>596</v>
      </c>
      <c r="D93" s="238"/>
      <c r="E93" s="294"/>
      <c r="F93" s="294"/>
      <c r="G93" s="240">
        <f>G91+H91</f>
        <v>0</v>
      </c>
      <c r="H93" s="240" t="s">
        <v>527</v>
      </c>
      <c r="I93" s="294"/>
      <c r="J93" s="294"/>
    </row>
    <row r="94" spans="1:10" x14ac:dyDescent="0.25">
      <c r="A94" s="232"/>
      <c r="B94" s="232"/>
      <c r="C94" s="233"/>
      <c r="D94" s="232"/>
      <c r="E94" s="232"/>
      <c r="F94" s="232"/>
      <c r="G94" s="232"/>
      <c r="H94" s="232"/>
      <c r="I94" s="232"/>
      <c r="J94" s="232"/>
    </row>
    <row r="95" spans="1:10" x14ac:dyDescent="0.25">
      <c r="C95" s="290"/>
    </row>
    <row r="96" spans="1:10" x14ac:dyDescent="0.25">
      <c r="C96" s="290"/>
    </row>
  </sheetData>
  <sheetProtection algorithmName="SHA-512" hashValue="BTQm15dMP5Twquu5MiTee+O2sv/o+ZRxytkrpoqqE34oXjkL2Abu+MxCEf3CQijFPohINy0klXyv6w12ebRWrQ==" saltValue="wPbDZxKa2A8ktJak9YrC5w==" spinCount="100000" sheet="1" objects="1" scenarios="1"/>
  <pageMargins left="0.74791666666666701" right="0.74791666666666701" top="0.98402777777777795" bottom="0.98402777777777795" header="0.511811023622047" footer="0.511811023622047"/>
  <pageSetup paperSize="9" scale="68" firstPageNumber="0" fitToHeight="9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31" zoomScaleNormal="100" workbookViewId="0">
      <selection activeCell="P15" sqref="P15"/>
    </sheetView>
  </sheetViews>
  <sheetFormatPr defaultColWidth="11.44140625" defaultRowHeight="13.2" x14ac:dyDescent="0.25"/>
  <cols>
    <col min="1" max="1" width="8" style="197" customWidth="1"/>
    <col min="2" max="2" width="17.33203125" style="197" customWidth="1"/>
    <col min="3" max="3" width="38.44140625" style="197" customWidth="1"/>
    <col min="4" max="4" width="8" style="197" customWidth="1"/>
    <col min="5" max="5" width="8.88671875" style="197" customWidth="1"/>
    <col min="6" max="6" width="10" style="197" customWidth="1"/>
    <col min="7" max="7" width="8.88671875" style="197" customWidth="1"/>
    <col min="8" max="8" width="11.44140625" style="197" customWidth="1"/>
    <col min="9" max="9" width="11.33203125" style="197" customWidth="1"/>
    <col min="10" max="10" width="10.33203125" style="197" customWidth="1"/>
    <col min="11" max="12" width="3.44140625" style="197" customWidth="1"/>
    <col min="13" max="256" width="8.88671875" style="197" customWidth="1"/>
    <col min="257" max="257" width="8" style="197" customWidth="1"/>
    <col min="258" max="258" width="17.33203125" style="197" customWidth="1"/>
    <col min="259" max="259" width="38.44140625" style="197" customWidth="1"/>
    <col min="260" max="260" width="8" style="197" customWidth="1"/>
    <col min="261" max="261" width="8.88671875" style="197" customWidth="1"/>
    <col min="262" max="262" width="10" style="197" customWidth="1"/>
    <col min="263" max="263" width="8.88671875" style="197" customWidth="1"/>
    <col min="264" max="264" width="11.44140625" style="197" customWidth="1"/>
    <col min="265" max="265" width="11.33203125" style="197" customWidth="1"/>
    <col min="266" max="266" width="10.33203125" style="197" customWidth="1"/>
    <col min="267" max="268" width="3.44140625" style="197" customWidth="1"/>
    <col min="269" max="512" width="8.88671875" style="197" customWidth="1"/>
    <col min="513" max="513" width="8" style="197" customWidth="1"/>
    <col min="514" max="514" width="17.33203125" style="197" customWidth="1"/>
    <col min="515" max="515" width="38.44140625" style="197" customWidth="1"/>
    <col min="516" max="516" width="8" style="197" customWidth="1"/>
    <col min="517" max="517" width="8.88671875" style="197" customWidth="1"/>
    <col min="518" max="518" width="10" style="197" customWidth="1"/>
    <col min="519" max="519" width="8.88671875" style="197" customWidth="1"/>
    <col min="520" max="520" width="11.44140625" style="197" customWidth="1"/>
    <col min="521" max="521" width="11.33203125" style="197" customWidth="1"/>
    <col min="522" max="522" width="10.33203125" style="197" customWidth="1"/>
    <col min="523" max="524" width="3.44140625" style="197" customWidth="1"/>
    <col min="525" max="768" width="8.88671875" style="197" customWidth="1"/>
    <col min="769" max="769" width="8" style="197" customWidth="1"/>
    <col min="770" max="770" width="17.33203125" style="197" customWidth="1"/>
    <col min="771" max="771" width="38.44140625" style="197" customWidth="1"/>
    <col min="772" max="772" width="8" style="197" customWidth="1"/>
    <col min="773" max="773" width="8.88671875" style="197" customWidth="1"/>
    <col min="774" max="774" width="10" style="197" customWidth="1"/>
    <col min="775" max="775" width="8.88671875" style="197" customWidth="1"/>
    <col min="776" max="776" width="11.44140625" style="197" customWidth="1"/>
    <col min="777" max="777" width="11.33203125" style="197" customWidth="1"/>
    <col min="778" max="778" width="10.33203125" style="197" customWidth="1"/>
    <col min="779" max="780" width="3.44140625" style="197" customWidth="1"/>
    <col min="781" max="1024" width="8.88671875" style="197" customWidth="1"/>
    <col min="1025" max="1025" width="8" style="197" customWidth="1"/>
    <col min="1026" max="1026" width="17.33203125" style="197" customWidth="1"/>
    <col min="1027" max="1027" width="38.44140625" style="197" customWidth="1"/>
    <col min="1028" max="1028" width="8" style="197" customWidth="1"/>
    <col min="1029" max="1029" width="8.88671875" style="197" customWidth="1"/>
    <col min="1030" max="1030" width="10" style="197" customWidth="1"/>
    <col min="1031" max="1031" width="8.88671875" style="197" customWidth="1"/>
    <col min="1032" max="1032" width="11.44140625" style="197" customWidth="1"/>
    <col min="1033" max="1033" width="11.33203125" style="197" customWidth="1"/>
    <col min="1034" max="1034" width="10.33203125" style="197" customWidth="1"/>
    <col min="1035" max="1036" width="3.44140625" style="197" customWidth="1"/>
    <col min="1037" max="1280" width="8.88671875" style="197" customWidth="1"/>
    <col min="1281" max="1281" width="8" style="197" customWidth="1"/>
    <col min="1282" max="1282" width="17.33203125" style="197" customWidth="1"/>
    <col min="1283" max="1283" width="38.44140625" style="197" customWidth="1"/>
    <col min="1284" max="1284" width="8" style="197" customWidth="1"/>
    <col min="1285" max="1285" width="8.88671875" style="197" customWidth="1"/>
    <col min="1286" max="1286" width="10" style="197" customWidth="1"/>
    <col min="1287" max="1287" width="8.88671875" style="197" customWidth="1"/>
    <col min="1288" max="1288" width="11.44140625" style="197" customWidth="1"/>
    <col min="1289" max="1289" width="11.33203125" style="197" customWidth="1"/>
    <col min="1290" max="1290" width="10.33203125" style="197" customWidth="1"/>
    <col min="1291" max="1292" width="3.44140625" style="197" customWidth="1"/>
    <col min="1293" max="1536" width="8.88671875" style="197" customWidth="1"/>
    <col min="1537" max="1537" width="8" style="197" customWidth="1"/>
    <col min="1538" max="1538" width="17.33203125" style="197" customWidth="1"/>
    <col min="1539" max="1539" width="38.44140625" style="197" customWidth="1"/>
    <col min="1540" max="1540" width="8" style="197" customWidth="1"/>
    <col min="1541" max="1541" width="8.88671875" style="197" customWidth="1"/>
    <col min="1542" max="1542" width="10" style="197" customWidth="1"/>
    <col min="1543" max="1543" width="8.88671875" style="197" customWidth="1"/>
    <col min="1544" max="1544" width="11.44140625" style="197" customWidth="1"/>
    <col min="1545" max="1545" width="11.33203125" style="197" customWidth="1"/>
    <col min="1546" max="1546" width="10.33203125" style="197" customWidth="1"/>
    <col min="1547" max="1548" width="3.44140625" style="197" customWidth="1"/>
    <col min="1549" max="1792" width="8.88671875" style="197" customWidth="1"/>
    <col min="1793" max="1793" width="8" style="197" customWidth="1"/>
    <col min="1794" max="1794" width="17.33203125" style="197" customWidth="1"/>
    <col min="1795" max="1795" width="38.44140625" style="197" customWidth="1"/>
    <col min="1796" max="1796" width="8" style="197" customWidth="1"/>
    <col min="1797" max="1797" width="8.88671875" style="197" customWidth="1"/>
    <col min="1798" max="1798" width="10" style="197" customWidth="1"/>
    <col min="1799" max="1799" width="8.88671875" style="197" customWidth="1"/>
    <col min="1800" max="1800" width="11.44140625" style="197" customWidth="1"/>
    <col min="1801" max="1801" width="11.33203125" style="197" customWidth="1"/>
    <col min="1802" max="1802" width="10.33203125" style="197" customWidth="1"/>
    <col min="1803" max="1804" width="3.44140625" style="197" customWidth="1"/>
    <col min="1805" max="2048" width="8.88671875" style="197" customWidth="1"/>
    <col min="2049" max="2049" width="8" style="197" customWidth="1"/>
    <col min="2050" max="2050" width="17.33203125" style="197" customWidth="1"/>
    <col min="2051" max="2051" width="38.44140625" style="197" customWidth="1"/>
    <col min="2052" max="2052" width="8" style="197" customWidth="1"/>
    <col min="2053" max="2053" width="8.88671875" style="197" customWidth="1"/>
    <col min="2054" max="2054" width="10" style="197" customWidth="1"/>
    <col min="2055" max="2055" width="8.88671875" style="197" customWidth="1"/>
    <col min="2056" max="2056" width="11.44140625" style="197" customWidth="1"/>
    <col min="2057" max="2057" width="11.33203125" style="197" customWidth="1"/>
    <col min="2058" max="2058" width="10.33203125" style="197" customWidth="1"/>
    <col min="2059" max="2060" width="3.44140625" style="197" customWidth="1"/>
    <col min="2061" max="2304" width="8.88671875" style="197" customWidth="1"/>
    <col min="2305" max="2305" width="8" style="197" customWidth="1"/>
    <col min="2306" max="2306" width="17.33203125" style="197" customWidth="1"/>
    <col min="2307" max="2307" width="38.44140625" style="197" customWidth="1"/>
    <col min="2308" max="2308" width="8" style="197" customWidth="1"/>
    <col min="2309" max="2309" width="8.88671875" style="197" customWidth="1"/>
    <col min="2310" max="2310" width="10" style="197" customWidth="1"/>
    <col min="2311" max="2311" width="8.88671875" style="197" customWidth="1"/>
    <col min="2312" max="2312" width="11.44140625" style="197" customWidth="1"/>
    <col min="2313" max="2313" width="11.33203125" style="197" customWidth="1"/>
    <col min="2314" max="2314" width="10.33203125" style="197" customWidth="1"/>
    <col min="2315" max="2316" width="3.44140625" style="197" customWidth="1"/>
    <col min="2317" max="2560" width="8.88671875" style="197" customWidth="1"/>
    <col min="2561" max="2561" width="8" style="197" customWidth="1"/>
    <col min="2562" max="2562" width="17.33203125" style="197" customWidth="1"/>
    <col min="2563" max="2563" width="38.44140625" style="197" customWidth="1"/>
    <col min="2564" max="2564" width="8" style="197" customWidth="1"/>
    <col min="2565" max="2565" width="8.88671875" style="197" customWidth="1"/>
    <col min="2566" max="2566" width="10" style="197" customWidth="1"/>
    <col min="2567" max="2567" width="8.88671875" style="197" customWidth="1"/>
    <col min="2568" max="2568" width="11.44140625" style="197" customWidth="1"/>
    <col min="2569" max="2569" width="11.33203125" style="197" customWidth="1"/>
    <col min="2570" max="2570" width="10.33203125" style="197" customWidth="1"/>
    <col min="2571" max="2572" width="3.44140625" style="197" customWidth="1"/>
    <col min="2573" max="2816" width="8.88671875" style="197" customWidth="1"/>
    <col min="2817" max="2817" width="8" style="197" customWidth="1"/>
    <col min="2818" max="2818" width="17.33203125" style="197" customWidth="1"/>
    <col min="2819" max="2819" width="38.44140625" style="197" customWidth="1"/>
    <col min="2820" max="2820" width="8" style="197" customWidth="1"/>
    <col min="2821" max="2821" width="8.88671875" style="197" customWidth="1"/>
    <col min="2822" max="2822" width="10" style="197" customWidth="1"/>
    <col min="2823" max="2823" width="8.88671875" style="197" customWidth="1"/>
    <col min="2824" max="2824" width="11.44140625" style="197" customWidth="1"/>
    <col min="2825" max="2825" width="11.33203125" style="197" customWidth="1"/>
    <col min="2826" max="2826" width="10.33203125" style="197" customWidth="1"/>
    <col min="2827" max="2828" width="3.44140625" style="197" customWidth="1"/>
    <col min="2829" max="3072" width="8.88671875" style="197" customWidth="1"/>
    <col min="3073" max="3073" width="8" style="197" customWidth="1"/>
    <col min="3074" max="3074" width="17.33203125" style="197" customWidth="1"/>
    <col min="3075" max="3075" width="38.44140625" style="197" customWidth="1"/>
    <col min="3076" max="3076" width="8" style="197" customWidth="1"/>
    <col min="3077" max="3077" width="8.88671875" style="197" customWidth="1"/>
    <col min="3078" max="3078" width="10" style="197" customWidth="1"/>
    <col min="3079" max="3079" width="8.88671875" style="197" customWidth="1"/>
    <col min="3080" max="3080" width="11.44140625" style="197" customWidth="1"/>
    <col min="3081" max="3081" width="11.33203125" style="197" customWidth="1"/>
    <col min="3082" max="3082" width="10.33203125" style="197" customWidth="1"/>
    <col min="3083" max="3084" width="3.44140625" style="197" customWidth="1"/>
    <col min="3085" max="3328" width="8.88671875" style="197" customWidth="1"/>
    <col min="3329" max="3329" width="8" style="197" customWidth="1"/>
    <col min="3330" max="3330" width="17.33203125" style="197" customWidth="1"/>
    <col min="3331" max="3331" width="38.44140625" style="197" customWidth="1"/>
    <col min="3332" max="3332" width="8" style="197" customWidth="1"/>
    <col min="3333" max="3333" width="8.88671875" style="197" customWidth="1"/>
    <col min="3334" max="3334" width="10" style="197" customWidth="1"/>
    <col min="3335" max="3335" width="8.88671875" style="197" customWidth="1"/>
    <col min="3336" max="3336" width="11.44140625" style="197" customWidth="1"/>
    <col min="3337" max="3337" width="11.33203125" style="197" customWidth="1"/>
    <col min="3338" max="3338" width="10.33203125" style="197" customWidth="1"/>
    <col min="3339" max="3340" width="3.44140625" style="197" customWidth="1"/>
    <col min="3341" max="3584" width="8.88671875" style="197" customWidth="1"/>
    <col min="3585" max="3585" width="8" style="197" customWidth="1"/>
    <col min="3586" max="3586" width="17.33203125" style="197" customWidth="1"/>
    <col min="3587" max="3587" width="38.44140625" style="197" customWidth="1"/>
    <col min="3588" max="3588" width="8" style="197" customWidth="1"/>
    <col min="3589" max="3589" width="8.88671875" style="197" customWidth="1"/>
    <col min="3590" max="3590" width="10" style="197" customWidth="1"/>
    <col min="3591" max="3591" width="8.88671875" style="197" customWidth="1"/>
    <col min="3592" max="3592" width="11.44140625" style="197" customWidth="1"/>
    <col min="3593" max="3593" width="11.33203125" style="197" customWidth="1"/>
    <col min="3594" max="3594" width="10.33203125" style="197" customWidth="1"/>
    <col min="3595" max="3596" width="3.44140625" style="197" customWidth="1"/>
    <col min="3597" max="3840" width="8.88671875" style="197" customWidth="1"/>
    <col min="3841" max="3841" width="8" style="197" customWidth="1"/>
    <col min="3842" max="3842" width="17.33203125" style="197" customWidth="1"/>
    <col min="3843" max="3843" width="38.44140625" style="197" customWidth="1"/>
    <col min="3844" max="3844" width="8" style="197" customWidth="1"/>
    <col min="3845" max="3845" width="8.88671875" style="197" customWidth="1"/>
    <col min="3846" max="3846" width="10" style="197" customWidth="1"/>
    <col min="3847" max="3847" width="8.88671875" style="197" customWidth="1"/>
    <col min="3848" max="3848" width="11.44140625" style="197" customWidth="1"/>
    <col min="3849" max="3849" width="11.33203125" style="197" customWidth="1"/>
    <col min="3850" max="3850" width="10.33203125" style="197" customWidth="1"/>
    <col min="3851" max="3852" width="3.44140625" style="197" customWidth="1"/>
    <col min="3853" max="4096" width="8.88671875" style="197" customWidth="1"/>
    <col min="4097" max="4097" width="8" style="197" customWidth="1"/>
    <col min="4098" max="4098" width="17.33203125" style="197" customWidth="1"/>
    <col min="4099" max="4099" width="38.44140625" style="197" customWidth="1"/>
    <col min="4100" max="4100" width="8" style="197" customWidth="1"/>
    <col min="4101" max="4101" width="8.88671875" style="197" customWidth="1"/>
    <col min="4102" max="4102" width="10" style="197" customWidth="1"/>
    <col min="4103" max="4103" width="8.88671875" style="197" customWidth="1"/>
    <col min="4104" max="4104" width="11.44140625" style="197" customWidth="1"/>
    <col min="4105" max="4105" width="11.33203125" style="197" customWidth="1"/>
    <col min="4106" max="4106" width="10.33203125" style="197" customWidth="1"/>
    <col min="4107" max="4108" width="3.44140625" style="197" customWidth="1"/>
    <col min="4109" max="4352" width="8.88671875" style="197" customWidth="1"/>
    <col min="4353" max="4353" width="8" style="197" customWidth="1"/>
    <col min="4354" max="4354" width="17.33203125" style="197" customWidth="1"/>
    <col min="4355" max="4355" width="38.44140625" style="197" customWidth="1"/>
    <col min="4356" max="4356" width="8" style="197" customWidth="1"/>
    <col min="4357" max="4357" width="8.88671875" style="197" customWidth="1"/>
    <col min="4358" max="4358" width="10" style="197" customWidth="1"/>
    <col min="4359" max="4359" width="8.88671875" style="197" customWidth="1"/>
    <col min="4360" max="4360" width="11.44140625" style="197" customWidth="1"/>
    <col min="4361" max="4361" width="11.33203125" style="197" customWidth="1"/>
    <col min="4362" max="4362" width="10.33203125" style="197" customWidth="1"/>
    <col min="4363" max="4364" width="3.44140625" style="197" customWidth="1"/>
    <col min="4365" max="4608" width="8.88671875" style="197" customWidth="1"/>
    <col min="4609" max="4609" width="8" style="197" customWidth="1"/>
    <col min="4610" max="4610" width="17.33203125" style="197" customWidth="1"/>
    <col min="4611" max="4611" width="38.44140625" style="197" customWidth="1"/>
    <col min="4612" max="4612" width="8" style="197" customWidth="1"/>
    <col min="4613" max="4613" width="8.88671875" style="197" customWidth="1"/>
    <col min="4614" max="4614" width="10" style="197" customWidth="1"/>
    <col min="4615" max="4615" width="8.88671875" style="197" customWidth="1"/>
    <col min="4616" max="4616" width="11.44140625" style="197" customWidth="1"/>
    <col min="4617" max="4617" width="11.33203125" style="197" customWidth="1"/>
    <col min="4618" max="4618" width="10.33203125" style="197" customWidth="1"/>
    <col min="4619" max="4620" width="3.44140625" style="197" customWidth="1"/>
    <col min="4621" max="4864" width="8.88671875" style="197" customWidth="1"/>
    <col min="4865" max="4865" width="8" style="197" customWidth="1"/>
    <col min="4866" max="4866" width="17.33203125" style="197" customWidth="1"/>
    <col min="4867" max="4867" width="38.44140625" style="197" customWidth="1"/>
    <col min="4868" max="4868" width="8" style="197" customWidth="1"/>
    <col min="4869" max="4869" width="8.88671875" style="197" customWidth="1"/>
    <col min="4870" max="4870" width="10" style="197" customWidth="1"/>
    <col min="4871" max="4871" width="8.88671875" style="197" customWidth="1"/>
    <col min="4872" max="4872" width="11.44140625" style="197" customWidth="1"/>
    <col min="4873" max="4873" width="11.33203125" style="197" customWidth="1"/>
    <col min="4874" max="4874" width="10.33203125" style="197" customWidth="1"/>
    <col min="4875" max="4876" width="3.44140625" style="197" customWidth="1"/>
    <col min="4877" max="5120" width="8.88671875" style="197" customWidth="1"/>
    <col min="5121" max="5121" width="8" style="197" customWidth="1"/>
    <col min="5122" max="5122" width="17.33203125" style="197" customWidth="1"/>
    <col min="5123" max="5123" width="38.44140625" style="197" customWidth="1"/>
    <col min="5124" max="5124" width="8" style="197" customWidth="1"/>
    <col min="5125" max="5125" width="8.88671875" style="197" customWidth="1"/>
    <col min="5126" max="5126" width="10" style="197" customWidth="1"/>
    <col min="5127" max="5127" width="8.88671875" style="197" customWidth="1"/>
    <col min="5128" max="5128" width="11.44140625" style="197" customWidth="1"/>
    <col min="5129" max="5129" width="11.33203125" style="197" customWidth="1"/>
    <col min="5130" max="5130" width="10.33203125" style="197" customWidth="1"/>
    <col min="5131" max="5132" width="3.44140625" style="197" customWidth="1"/>
    <col min="5133" max="5376" width="8.88671875" style="197" customWidth="1"/>
    <col min="5377" max="5377" width="8" style="197" customWidth="1"/>
    <col min="5378" max="5378" width="17.33203125" style="197" customWidth="1"/>
    <col min="5379" max="5379" width="38.44140625" style="197" customWidth="1"/>
    <col min="5380" max="5380" width="8" style="197" customWidth="1"/>
    <col min="5381" max="5381" width="8.88671875" style="197" customWidth="1"/>
    <col min="5382" max="5382" width="10" style="197" customWidth="1"/>
    <col min="5383" max="5383" width="8.88671875" style="197" customWidth="1"/>
    <col min="5384" max="5384" width="11.44140625" style="197" customWidth="1"/>
    <col min="5385" max="5385" width="11.33203125" style="197" customWidth="1"/>
    <col min="5386" max="5386" width="10.33203125" style="197" customWidth="1"/>
    <col min="5387" max="5388" width="3.44140625" style="197" customWidth="1"/>
    <col min="5389" max="5632" width="8.88671875" style="197" customWidth="1"/>
    <col min="5633" max="5633" width="8" style="197" customWidth="1"/>
    <col min="5634" max="5634" width="17.33203125" style="197" customWidth="1"/>
    <col min="5635" max="5635" width="38.44140625" style="197" customWidth="1"/>
    <col min="5636" max="5636" width="8" style="197" customWidth="1"/>
    <col min="5637" max="5637" width="8.88671875" style="197" customWidth="1"/>
    <col min="5638" max="5638" width="10" style="197" customWidth="1"/>
    <col min="5639" max="5639" width="8.88671875" style="197" customWidth="1"/>
    <col min="5640" max="5640" width="11.44140625" style="197" customWidth="1"/>
    <col min="5641" max="5641" width="11.33203125" style="197" customWidth="1"/>
    <col min="5642" max="5642" width="10.33203125" style="197" customWidth="1"/>
    <col min="5643" max="5644" width="3.44140625" style="197" customWidth="1"/>
    <col min="5645" max="5888" width="8.88671875" style="197" customWidth="1"/>
    <col min="5889" max="5889" width="8" style="197" customWidth="1"/>
    <col min="5890" max="5890" width="17.33203125" style="197" customWidth="1"/>
    <col min="5891" max="5891" width="38.44140625" style="197" customWidth="1"/>
    <col min="5892" max="5892" width="8" style="197" customWidth="1"/>
    <col min="5893" max="5893" width="8.88671875" style="197" customWidth="1"/>
    <col min="5894" max="5894" width="10" style="197" customWidth="1"/>
    <col min="5895" max="5895" width="8.88671875" style="197" customWidth="1"/>
    <col min="5896" max="5896" width="11.44140625" style="197" customWidth="1"/>
    <col min="5897" max="5897" width="11.33203125" style="197" customWidth="1"/>
    <col min="5898" max="5898" width="10.33203125" style="197" customWidth="1"/>
    <col min="5899" max="5900" width="3.44140625" style="197" customWidth="1"/>
    <col min="5901" max="6144" width="8.88671875" style="197" customWidth="1"/>
    <col min="6145" max="6145" width="8" style="197" customWidth="1"/>
    <col min="6146" max="6146" width="17.33203125" style="197" customWidth="1"/>
    <col min="6147" max="6147" width="38.44140625" style="197" customWidth="1"/>
    <col min="6148" max="6148" width="8" style="197" customWidth="1"/>
    <col min="6149" max="6149" width="8.88671875" style="197" customWidth="1"/>
    <col min="6150" max="6150" width="10" style="197" customWidth="1"/>
    <col min="6151" max="6151" width="8.88671875" style="197" customWidth="1"/>
    <col min="6152" max="6152" width="11.44140625" style="197" customWidth="1"/>
    <col min="6153" max="6153" width="11.33203125" style="197" customWidth="1"/>
    <col min="6154" max="6154" width="10.33203125" style="197" customWidth="1"/>
    <col min="6155" max="6156" width="3.44140625" style="197" customWidth="1"/>
    <col min="6157" max="6400" width="8.88671875" style="197" customWidth="1"/>
    <col min="6401" max="6401" width="8" style="197" customWidth="1"/>
    <col min="6402" max="6402" width="17.33203125" style="197" customWidth="1"/>
    <col min="6403" max="6403" width="38.44140625" style="197" customWidth="1"/>
    <col min="6404" max="6404" width="8" style="197" customWidth="1"/>
    <col min="6405" max="6405" width="8.88671875" style="197" customWidth="1"/>
    <col min="6406" max="6406" width="10" style="197" customWidth="1"/>
    <col min="6407" max="6407" width="8.88671875" style="197" customWidth="1"/>
    <col min="6408" max="6408" width="11.44140625" style="197" customWidth="1"/>
    <col min="6409" max="6409" width="11.33203125" style="197" customWidth="1"/>
    <col min="6410" max="6410" width="10.33203125" style="197" customWidth="1"/>
    <col min="6411" max="6412" width="3.44140625" style="197" customWidth="1"/>
    <col min="6413" max="6656" width="8.88671875" style="197" customWidth="1"/>
    <col min="6657" max="6657" width="8" style="197" customWidth="1"/>
    <col min="6658" max="6658" width="17.33203125" style="197" customWidth="1"/>
    <col min="6659" max="6659" width="38.44140625" style="197" customWidth="1"/>
    <col min="6660" max="6660" width="8" style="197" customWidth="1"/>
    <col min="6661" max="6661" width="8.88671875" style="197" customWidth="1"/>
    <col min="6662" max="6662" width="10" style="197" customWidth="1"/>
    <col min="6663" max="6663" width="8.88671875" style="197" customWidth="1"/>
    <col min="6664" max="6664" width="11.44140625" style="197" customWidth="1"/>
    <col min="6665" max="6665" width="11.33203125" style="197" customWidth="1"/>
    <col min="6666" max="6666" width="10.33203125" style="197" customWidth="1"/>
    <col min="6667" max="6668" width="3.44140625" style="197" customWidth="1"/>
    <col min="6669" max="6912" width="8.88671875" style="197" customWidth="1"/>
    <col min="6913" max="6913" width="8" style="197" customWidth="1"/>
    <col min="6914" max="6914" width="17.33203125" style="197" customWidth="1"/>
    <col min="6915" max="6915" width="38.44140625" style="197" customWidth="1"/>
    <col min="6916" max="6916" width="8" style="197" customWidth="1"/>
    <col min="6917" max="6917" width="8.88671875" style="197" customWidth="1"/>
    <col min="6918" max="6918" width="10" style="197" customWidth="1"/>
    <col min="6919" max="6919" width="8.88671875" style="197" customWidth="1"/>
    <col min="6920" max="6920" width="11.44140625" style="197" customWidth="1"/>
    <col min="6921" max="6921" width="11.33203125" style="197" customWidth="1"/>
    <col min="6922" max="6922" width="10.33203125" style="197" customWidth="1"/>
    <col min="6923" max="6924" width="3.44140625" style="197" customWidth="1"/>
    <col min="6925" max="7168" width="8.88671875" style="197" customWidth="1"/>
    <col min="7169" max="7169" width="8" style="197" customWidth="1"/>
    <col min="7170" max="7170" width="17.33203125" style="197" customWidth="1"/>
    <col min="7171" max="7171" width="38.44140625" style="197" customWidth="1"/>
    <col min="7172" max="7172" width="8" style="197" customWidth="1"/>
    <col min="7173" max="7173" width="8.88671875" style="197" customWidth="1"/>
    <col min="7174" max="7174" width="10" style="197" customWidth="1"/>
    <col min="7175" max="7175" width="8.88671875" style="197" customWidth="1"/>
    <col min="7176" max="7176" width="11.44140625" style="197" customWidth="1"/>
    <col min="7177" max="7177" width="11.33203125" style="197" customWidth="1"/>
    <col min="7178" max="7178" width="10.33203125" style="197" customWidth="1"/>
    <col min="7179" max="7180" width="3.44140625" style="197" customWidth="1"/>
    <col min="7181" max="7424" width="8.88671875" style="197" customWidth="1"/>
    <col min="7425" max="7425" width="8" style="197" customWidth="1"/>
    <col min="7426" max="7426" width="17.33203125" style="197" customWidth="1"/>
    <col min="7427" max="7427" width="38.44140625" style="197" customWidth="1"/>
    <col min="7428" max="7428" width="8" style="197" customWidth="1"/>
    <col min="7429" max="7429" width="8.88671875" style="197" customWidth="1"/>
    <col min="7430" max="7430" width="10" style="197" customWidth="1"/>
    <col min="7431" max="7431" width="8.88671875" style="197" customWidth="1"/>
    <col min="7432" max="7432" width="11.44140625" style="197" customWidth="1"/>
    <col min="7433" max="7433" width="11.33203125" style="197" customWidth="1"/>
    <col min="7434" max="7434" width="10.33203125" style="197" customWidth="1"/>
    <col min="7435" max="7436" width="3.44140625" style="197" customWidth="1"/>
    <col min="7437" max="7680" width="8.88671875" style="197" customWidth="1"/>
    <col min="7681" max="7681" width="8" style="197" customWidth="1"/>
    <col min="7682" max="7682" width="17.33203125" style="197" customWidth="1"/>
    <col min="7683" max="7683" width="38.44140625" style="197" customWidth="1"/>
    <col min="7684" max="7684" width="8" style="197" customWidth="1"/>
    <col min="7685" max="7685" width="8.88671875" style="197" customWidth="1"/>
    <col min="7686" max="7686" width="10" style="197" customWidth="1"/>
    <col min="7687" max="7687" width="8.88671875" style="197" customWidth="1"/>
    <col min="7688" max="7688" width="11.44140625" style="197" customWidth="1"/>
    <col min="7689" max="7689" width="11.33203125" style="197" customWidth="1"/>
    <col min="7690" max="7690" width="10.33203125" style="197" customWidth="1"/>
    <col min="7691" max="7692" width="3.44140625" style="197" customWidth="1"/>
    <col min="7693" max="7936" width="8.88671875" style="197" customWidth="1"/>
    <col min="7937" max="7937" width="8" style="197" customWidth="1"/>
    <col min="7938" max="7938" width="17.33203125" style="197" customWidth="1"/>
    <col min="7939" max="7939" width="38.44140625" style="197" customWidth="1"/>
    <col min="7940" max="7940" width="8" style="197" customWidth="1"/>
    <col min="7941" max="7941" width="8.88671875" style="197" customWidth="1"/>
    <col min="7942" max="7942" width="10" style="197" customWidth="1"/>
    <col min="7943" max="7943" width="8.88671875" style="197" customWidth="1"/>
    <col min="7944" max="7944" width="11.44140625" style="197" customWidth="1"/>
    <col min="7945" max="7945" width="11.33203125" style="197" customWidth="1"/>
    <col min="7946" max="7946" width="10.33203125" style="197" customWidth="1"/>
    <col min="7947" max="7948" width="3.44140625" style="197" customWidth="1"/>
    <col min="7949" max="8192" width="8.88671875" style="197" customWidth="1"/>
    <col min="8193" max="8193" width="8" style="197" customWidth="1"/>
    <col min="8194" max="8194" width="17.33203125" style="197" customWidth="1"/>
    <col min="8195" max="8195" width="38.44140625" style="197" customWidth="1"/>
    <col min="8196" max="8196" width="8" style="197" customWidth="1"/>
    <col min="8197" max="8197" width="8.88671875" style="197" customWidth="1"/>
    <col min="8198" max="8198" width="10" style="197" customWidth="1"/>
    <col min="8199" max="8199" width="8.88671875" style="197" customWidth="1"/>
    <col min="8200" max="8200" width="11.44140625" style="197" customWidth="1"/>
    <col min="8201" max="8201" width="11.33203125" style="197" customWidth="1"/>
    <col min="8202" max="8202" width="10.33203125" style="197" customWidth="1"/>
    <col min="8203" max="8204" width="3.44140625" style="197" customWidth="1"/>
    <col min="8205" max="8448" width="8.88671875" style="197" customWidth="1"/>
    <col min="8449" max="8449" width="8" style="197" customWidth="1"/>
    <col min="8450" max="8450" width="17.33203125" style="197" customWidth="1"/>
    <col min="8451" max="8451" width="38.44140625" style="197" customWidth="1"/>
    <col min="8452" max="8452" width="8" style="197" customWidth="1"/>
    <col min="8453" max="8453" width="8.88671875" style="197" customWidth="1"/>
    <col min="8454" max="8454" width="10" style="197" customWidth="1"/>
    <col min="8455" max="8455" width="8.88671875" style="197" customWidth="1"/>
    <col min="8456" max="8456" width="11.44140625" style="197" customWidth="1"/>
    <col min="8457" max="8457" width="11.33203125" style="197" customWidth="1"/>
    <col min="8458" max="8458" width="10.33203125" style="197" customWidth="1"/>
    <col min="8459" max="8460" width="3.44140625" style="197" customWidth="1"/>
    <col min="8461" max="8704" width="8.88671875" style="197" customWidth="1"/>
    <col min="8705" max="8705" width="8" style="197" customWidth="1"/>
    <col min="8706" max="8706" width="17.33203125" style="197" customWidth="1"/>
    <col min="8707" max="8707" width="38.44140625" style="197" customWidth="1"/>
    <col min="8708" max="8708" width="8" style="197" customWidth="1"/>
    <col min="8709" max="8709" width="8.88671875" style="197" customWidth="1"/>
    <col min="8710" max="8710" width="10" style="197" customWidth="1"/>
    <col min="8711" max="8711" width="8.88671875" style="197" customWidth="1"/>
    <col min="8712" max="8712" width="11.44140625" style="197" customWidth="1"/>
    <col min="8713" max="8713" width="11.33203125" style="197" customWidth="1"/>
    <col min="8714" max="8714" width="10.33203125" style="197" customWidth="1"/>
    <col min="8715" max="8716" width="3.44140625" style="197" customWidth="1"/>
    <col min="8717" max="8960" width="8.88671875" style="197" customWidth="1"/>
    <col min="8961" max="8961" width="8" style="197" customWidth="1"/>
    <col min="8962" max="8962" width="17.33203125" style="197" customWidth="1"/>
    <col min="8963" max="8963" width="38.44140625" style="197" customWidth="1"/>
    <col min="8964" max="8964" width="8" style="197" customWidth="1"/>
    <col min="8965" max="8965" width="8.88671875" style="197" customWidth="1"/>
    <col min="8966" max="8966" width="10" style="197" customWidth="1"/>
    <col min="8967" max="8967" width="8.88671875" style="197" customWidth="1"/>
    <col min="8968" max="8968" width="11.44140625" style="197" customWidth="1"/>
    <col min="8969" max="8969" width="11.33203125" style="197" customWidth="1"/>
    <col min="8970" max="8970" width="10.33203125" style="197" customWidth="1"/>
    <col min="8971" max="8972" width="3.44140625" style="197" customWidth="1"/>
    <col min="8973" max="9216" width="8.88671875" style="197" customWidth="1"/>
    <col min="9217" max="9217" width="8" style="197" customWidth="1"/>
    <col min="9218" max="9218" width="17.33203125" style="197" customWidth="1"/>
    <col min="9219" max="9219" width="38.44140625" style="197" customWidth="1"/>
    <col min="9220" max="9220" width="8" style="197" customWidth="1"/>
    <col min="9221" max="9221" width="8.88671875" style="197" customWidth="1"/>
    <col min="9222" max="9222" width="10" style="197" customWidth="1"/>
    <col min="9223" max="9223" width="8.88671875" style="197" customWidth="1"/>
    <col min="9224" max="9224" width="11.44140625" style="197" customWidth="1"/>
    <col min="9225" max="9225" width="11.33203125" style="197" customWidth="1"/>
    <col min="9226" max="9226" width="10.33203125" style="197" customWidth="1"/>
    <col min="9227" max="9228" width="3.44140625" style="197" customWidth="1"/>
    <col min="9229" max="9472" width="8.88671875" style="197" customWidth="1"/>
    <col min="9473" max="9473" width="8" style="197" customWidth="1"/>
    <col min="9474" max="9474" width="17.33203125" style="197" customWidth="1"/>
    <col min="9475" max="9475" width="38.44140625" style="197" customWidth="1"/>
    <col min="9476" max="9476" width="8" style="197" customWidth="1"/>
    <col min="9477" max="9477" width="8.88671875" style="197" customWidth="1"/>
    <col min="9478" max="9478" width="10" style="197" customWidth="1"/>
    <col min="9479" max="9479" width="8.88671875" style="197" customWidth="1"/>
    <col min="9480" max="9480" width="11.44140625" style="197" customWidth="1"/>
    <col min="9481" max="9481" width="11.33203125" style="197" customWidth="1"/>
    <col min="9482" max="9482" width="10.33203125" style="197" customWidth="1"/>
    <col min="9483" max="9484" width="3.44140625" style="197" customWidth="1"/>
    <col min="9485" max="9728" width="8.88671875" style="197" customWidth="1"/>
    <col min="9729" max="9729" width="8" style="197" customWidth="1"/>
    <col min="9730" max="9730" width="17.33203125" style="197" customWidth="1"/>
    <col min="9731" max="9731" width="38.44140625" style="197" customWidth="1"/>
    <col min="9732" max="9732" width="8" style="197" customWidth="1"/>
    <col min="9733" max="9733" width="8.88671875" style="197" customWidth="1"/>
    <col min="9734" max="9734" width="10" style="197" customWidth="1"/>
    <col min="9735" max="9735" width="8.88671875" style="197" customWidth="1"/>
    <col min="9736" max="9736" width="11.44140625" style="197" customWidth="1"/>
    <col min="9737" max="9737" width="11.33203125" style="197" customWidth="1"/>
    <col min="9738" max="9738" width="10.33203125" style="197" customWidth="1"/>
    <col min="9739" max="9740" width="3.44140625" style="197" customWidth="1"/>
    <col min="9741" max="9984" width="8.88671875" style="197" customWidth="1"/>
    <col min="9985" max="9985" width="8" style="197" customWidth="1"/>
    <col min="9986" max="9986" width="17.33203125" style="197" customWidth="1"/>
    <col min="9987" max="9987" width="38.44140625" style="197" customWidth="1"/>
    <col min="9988" max="9988" width="8" style="197" customWidth="1"/>
    <col min="9989" max="9989" width="8.88671875" style="197" customWidth="1"/>
    <col min="9990" max="9990" width="10" style="197" customWidth="1"/>
    <col min="9991" max="9991" width="8.88671875" style="197" customWidth="1"/>
    <col min="9992" max="9992" width="11.44140625" style="197" customWidth="1"/>
    <col min="9993" max="9993" width="11.33203125" style="197" customWidth="1"/>
    <col min="9994" max="9994" width="10.33203125" style="197" customWidth="1"/>
    <col min="9995" max="9996" width="3.44140625" style="197" customWidth="1"/>
    <col min="9997" max="10240" width="8.88671875" style="197" customWidth="1"/>
    <col min="10241" max="10241" width="8" style="197" customWidth="1"/>
    <col min="10242" max="10242" width="17.33203125" style="197" customWidth="1"/>
    <col min="10243" max="10243" width="38.44140625" style="197" customWidth="1"/>
    <col min="10244" max="10244" width="8" style="197" customWidth="1"/>
    <col min="10245" max="10245" width="8.88671875" style="197" customWidth="1"/>
    <col min="10246" max="10246" width="10" style="197" customWidth="1"/>
    <col min="10247" max="10247" width="8.88671875" style="197" customWidth="1"/>
    <col min="10248" max="10248" width="11.44140625" style="197" customWidth="1"/>
    <col min="10249" max="10249" width="11.33203125" style="197" customWidth="1"/>
    <col min="10250" max="10250" width="10.33203125" style="197" customWidth="1"/>
    <col min="10251" max="10252" width="3.44140625" style="197" customWidth="1"/>
    <col min="10253" max="10496" width="8.88671875" style="197" customWidth="1"/>
    <col min="10497" max="10497" width="8" style="197" customWidth="1"/>
    <col min="10498" max="10498" width="17.33203125" style="197" customWidth="1"/>
    <col min="10499" max="10499" width="38.44140625" style="197" customWidth="1"/>
    <col min="10500" max="10500" width="8" style="197" customWidth="1"/>
    <col min="10501" max="10501" width="8.88671875" style="197" customWidth="1"/>
    <col min="10502" max="10502" width="10" style="197" customWidth="1"/>
    <col min="10503" max="10503" width="8.88671875" style="197" customWidth="1"/>
    <col min="10504" max="10504" width="11.44140625" style="197" customWidth="1"/>
    <col min="10505" max="10505" width="11.33203125" style="197" customWidth="1"/>
    <col min="10506" max="10506" width="10.33203125" style="197" customWidth="1"/>
    <col min="10507" max="10508" width="3.44140625" style="197" customWidth="1"/>
    <col min="10509" max="10752" width="8.88671875" style="197" customWidth="1"/>
    <col min="10753" max="10753" width="8" style="197" customWidth="1"/>
    <col min="10754" max="10754" width="17.33203125" style="197" customWidth="1"/>
    <col min="10755" max="10755" width="38.44140625" style="197" customWidth="1"/>
    <col min="10756" max="10756" width="8" style="197" customWidth="1"/>
    <col min="10757" max="10757" width="8.88671875" style="197" customWidth="1"/>
    <col min="10758" max="10758" width="10" style="197" customWidth="1"/>
    <col min="10759" max="10759" width="8.88671875" style="197" customWidth="1"/>
    <col min="10760" max="10760" width="11.44140625" style="197" customWidth="1"/>
    <col min="10761" max="10761" width="11.33203125" style="197" customWidth="1"/>
    <col min="10762" max="10762" width="10.33203125" style="197" customWidth="1"/>
    <col min="10763" max="10764" width="3.44140625" style="197" customWidth="1"/>
    <col min="10765" max="11008" width="8.88671875" style="197" customWidth="1"/>
    <col min="11009" max="11009" width="8" style="197" customWidth="1"/>
    <col min="11010" max="11010" width="17.33203125" style="197" customWidth="1"/>
    <col min="11011" max="11011" width="38.44140625" style="197" customWidth="1"/>
    <col min="11012" max="11012" width="8" style="197" customWidth="1"/>
    <col min="11013" max="11013" width="8.88671875" style="197" customWidth="1"/>
    <col min="11014" max="11014" width="10" style="197" customWidth="1"/>
    <col min="11015" max="11015" width="8.88671875" style="197" customWidth="1"/>
    <col min="11016" max="11016" width="11.44140625" style="197" customWidth="1"/>
    <col min="11017" max="11017" width="11.33203125" style="197" customWidth="1"/>
    <col min="11018" max="11018" width="10.33203125" style="197" customWidth="1"/>
    <col min="11019" max="11020" width="3.44140625" style="197" customWidth="1"/>
    <col min="11021" max="11264" width="8.88671875" style="197" customWidth="1"/>
    <col min="11265" max="11265" width="8" style="197" customWidth="1"/>
    <col min="11266" max="11266" width="17.33203125" style="197" customWidth="1"/>
    <col min="11267" max="11267" width="38.44140625" style="197" customWidth="1"/>
    <col min="11268" max="11268" width="8" style="197" customWidth="1"/>
    <col min="11269" max="11269" width="8.88671875" style="197" customWidth="1"/>
    <col min="11270" max="11270" width="10" style="197" customWidth="1"/>
    <col min="11271" max="11271" width="8.88671875" style="197" customWidth="1"/>
    <col min="11272" max="11272" width="11.44140625" style="197" customWidth="1"/>
    <col min="11273" max="11273" width="11.33203125" style="197" customWidth="1"/>
    <col min="11274" max="11274" width="10.33203125" style="197" customWidth="1"/>
    <col min="11275" max="11276" width="3.44140625" style="197" customWidth="1"/>
    <col min="11277" max="11520" width="8.88671875" style="197" customWidth="1"/>
    <col min="11521" max="11521" width="8" style="197" customWidth="1"/>
    <col min="11522" max="11522" width="17.33203125" style="197" customWidth="1"/>
    <col min="11523" max="11523" width="38.44140625" style="197" customWidth="1"/>
    <col min="11524" max="11524" width="8" style="197" customWidth="1"/>
    <col min="11525" max="11525" width="8.88671875" style="197" customWidth="1"/>
    <col min="11526" max="11526" width="10" style="197" customWidth="1"/>
    <col min="11527" max="11527" width="8.88671875" style="197" customWidth="1"/>
    <col min="11528" max="11528" width="11.44140625" style="197" customWidth="1"/>
    <col min="11529" max="11529" width="11.33203125" style="197" customWidth="1"/>
    <col min="11530" max="11530" width="10.33203125" style="197" customWidth="1"/>
    <col min="11531" max="11532" width="3.44140625" style="197" customWidth="1"/>
    <col min="11533" max="11776" width="8.88671875" style="197" customWidth="1"/>
    <col min="11777" max="11777" width="8" style="197" customWidth="1"/>
    <col min="11778" max="11778" width="17.33203125" style="197" customWidth="1"/>
    <col min="11779" max="11779" width="38.44140625" style="197" customWidth="1"/>
    <col min="11780" max="11780" width="8" style="197" customWidth="1"/>
    <col min="11781" max="11781" width="8.88671875" style="197" customWidth="1"/>
    <col min="11782" max="11782" width="10" style="197" customWidth="1"/>
    <col min="11783" max="11783" width="8.88671875" style="197" customWidth="1"/>
    <col min="11784" max="11784" width="11.44140625" style="197" customWidth="1"/>
    <col min="11785" max="11785" width="11.33203125" style="197" customWidth="1"/>
    <col min="11786" max="11786" width="10.33203125" style="197" customWidth="1"/>
    <col min="11787" max="11788" width="3.44140625" style="197" customWidth="1"/>
    <col min="11789" max="12032" width="8.88671875" style="197" customWidth="1"/>
    <col min="12033" max="12033" width="8" style="197" customWidth="1"/>
    <col min="12034" max="12034" width="17.33203125" style="197" customWidth="1"/>
    <col min="12035" max="12035" width="38.44140625" style="197" customWidth="1"/>
    <col min="12036" max="12036" width="8" style="197" customWidth="1"/>
    <col min="12037" max="12037" width="8.88671875" style="197" customWidth="1"/>
    <col min="12038" max="12038" width="10" style="197" customWidth="1"/>
    <col min="12039" max="12039" width="8.88671875" style="197" customWidth="1"/>
    <col min="12040" max="12040" width="11.44140625" style="197" customWidth="1"/>
    <col min="12041" max="12041" width="11.33203125" style="197" customWidth="1"/>
    <col min="12042" max="12042" width="10.33203125" style="197" customWidth="1"/>
    <col min="12043" max="12044" width="3.44140625" style="197" customWidth="1"/>
    <col min="12045" max="12288" width="8.88671875" style="197" customWidth="1"/>
    <col min="12289" max="12289" width="8" style="197" customWidth="1"/>
    <col min="12290" max="12290" width="17.33203125" style="197" customWidth="1"/>
    <col min="12291" max="12291" width="38.44140625" style="197" customWidth="1"/>
    <col min="12292" max="12292" width="8" style="197" customWidth="1"/>
    <col min="12293" max="12293" width="8.88671875" style="197" customWidth="1"/>
    <col min="12294" max="12294" width="10" style="197" customWidth="1"/>
    <col min="12295" max="12295" width="8.88671875" style="197" customWidth="1"/>
    <col min="12296" max="12296" width="11.44140625" style="197" customWidth="1"/>
    <col min="12297" max="12297" width="11.33203125" style="197" customWidth="1"/>
    <col min="12298" max="12298" width="10.33203125" style="197" customWidth="1"/>
    <col min="12299" max="12300" width="3.44140625" style="197" customWidth="1"/>
    <col min="12301" max="12544" width="8.88671875" style="197" customWidth="1"/>
    <col min="12545" max="12545" width="8" style="197" customWidth="1"/>
    <col min="12546" max="12546" width="17.33203125" style="197" customWidth="1"/>
    <col min="12547" max="12547" width="38.44140625" style="197" customWidth="1"/>
    <col min="12548" max="12548" width="8" style="197" customWidth="1"/>
    <col min="12549" max="12549" width="8.88671875" style="197" customWidth="1"/>
    <col min="12550" max="12550" width="10" style="197" customWidth="1"/>
    <col min="12551" max="12551" width="8.88671875" style="197" customWidth="1"/>
    <col min="12552" max="12552" width="11.44140625" style="197" customWidth="1"/>
    <col min="12553" max="12553" width="11.33203125" style="197" customWidth="1"/>
    <col min="12554" max="12554" width="10.33203125" style="197" customWidth="1"/>
    <col min="12555" max="12556" width="3.44140625" style="197" customWidth="1"/>
    <col min="12557" max="12800" width="8.88671875" style="197" customWidth="1"/>
    <col min="12801" max="12801" width="8" style="197" customWidth="1"/>
    <col min="12802" max="12802" width="17.33203125" style="197" customWidth="1"/>
    <col min="12803" max="12803" width="38.44140625" style="197" customWidth="1"/>
    <col min="12804" max="12804" width="8" style="197" customWidth="1"/>
    <col min="12805" max="12805" width="8.88671875" style="197" customWidth="1"/>
    <col min="12806" max="12806" width="10" style="197" customWidth="1"/>
    <col min="12807" max="12807" width="8.88671875" style="197" customWidth="1"/>
    <col min="12808" max="12808" width="11.44140625" style="197" customWidth="1"/>
    <col min="12809" max="12809" width="11.33203125" style="197" customWidth="1"/>
    <col min="12810" max="12810" width="10.33203125" style="197" customWidth="1"/>
    <col min="12811" max="12812" width="3.44140625" style="197" customWidth="1"/>
    <col min="12813" max="13056" width="8.88671875" style="197" customWidth="1"/>
    <col min="13057" max="13057" width="8" style="197" customWidth="1"/>
    <col min="13058" max="13058" width="17.33203125" style="197" customWidth="1"/>
    <col min="13059" max="13059" width="38.44140625" style="197" customWidth="1"/>
    <col min="13060" max="13060" width="8" style="197" customWidth="1"/>
    <col min="13061" max="13061" width="8.88671875" style="197" customWidth="1"/>
    <col min="13062" max="13062" width="10" style="197" customWidth="1"/>
    <col min="13063" max="13063" width="8.88671875" style="197" customWidth="1"/>
    <col min="13064" max="13064" width="11.44140625" style="197" customWidth="1"/>
    <col min="13065" max="13065" width="11.33203125" style="197" customWidth="1"/>
    <col min="13066" max="13066" width="10.33203125" style="197" customWidth="1"/>
    <col min="13067" max="13068" width="3.44140625" style="197" customWidth="1"/>
    <col min="13069" max="13312" width="8.88671875" style="197" customWidth="1"/>
    <col min="13313" max="13313" width="8" style="197" customWidth="1"/>
    <col min="13314" max="13314" width="17.33203125" style="197" customWidth="1"/>
    <col min="13315" max="13315" width="38.44140625" style="197" customWidth="1"/>
    <col min="13316" max="13316" width="8" style="197" customWidth="1"/>
    <col min="13317" max="13317" width="8.88671875" style="197" customWidth="1"/>
    <col min="13318" max="13318" width="10" style="197" customWidth="1"/>
    <col min="13319" max="13319" width="8.88671875" style="197" customWidth="1"/>
    <col min="13320" max="13320" width="11.44140625" style="197" customWidth="1"/>
    <col min="13321" max="13321" width="11.33203125" style="197" customWidth="1"/>
    <col min="13322" max="13322" width="10.33203125" style="197" customWidth="1"/>
    <col min="13323" max="13324" width="3.44140625" style="197" customWidth="1"/>
    <col min="13325" max="13568" width="8.88671875" style="197" customWidth="1"/>
    <col min="13569" max="13569" width="8" style="197" customWidth="1"/>
    <col min="13570" max="13570" width="17.33203125" style="197" customWidth="1"/>
    <col min="13571" max="13571" width="38.44140625" style="197" customWidth="1"/>
    <col min="13572" max="13572" width="8" style="197" customWidth="1"/>
    <col min="13573" max="13573" width="8.88671875" style="197" customWidth="1"/>
    <col min="13574" max="13574" width="10" style="197" customWidth="1"/>
    <col min="13575" max="13575" width="8.88671875" style="197" customWidth="1"/>
    <col min="13576" max="13576" width="11.44140625" style="197" customWidth="1"/>
    <col min="13577" max="13577" width="11.33203125" style="197" customWidth="1"/>
    <col min="13578" max="13578" width="10.33203125" style="197" customWidth="1"/>
    <col min="13579" max="13580" width="3.44140625" style="197" customWidth="1"/>
    <col min="13581" max="13824" width="8.88671875" style="197" customWidth="1"/>
    <col min="13825" max="13825" width="8" style="197" customWidth="1"/>
    <col min="13826" max="13826" width="17.33203125" style="197" customWidth="1"/>
    <col min="13827" max="13827" width="38.44140625" style="197" customWidth="1"/>
    <col min="13828" max="13828" width="8" style="197" customWidth="1"/>
    <col min="13829" max="13829" width="8.88671875" style="197" customWidth="1"/>
    <col min="13830" max="13830" width="10" style="197" customWidth="1"/>
    <col min="13831" max="13831" width="8.88671875" style="197" customWidth="1"/>
    <col min="13832" max="13832" width="11.44140625" style="197" customWidth="1"/>
    <col min="13833" max="13833" width="11.33203125" style="197" customWidth="1"/>
    <col min="13834" max="13834" width="10.33203125" style="197" customWidth="1"/>
    <col min="13835" max="13836" width="3.44140625" style="197" customWidth="1"/>
    <col min="13837" max="14080" width="8.88671875" style="197" customWidth="1"/>
    <col min="14081" max="14081" width="8" style="197" customWidth="1"/>
    <col min="14082" max="14082" width="17.33203125" style="197" customWidth="1"/>
    <col min="14083" max="14083" width="38.44140625" style="197" customWidth="1"/>
    <col min="14084" max="14084" width="8" style="197" customWidth="1"/>
    <col min="14085" max="14085" width="8.88671875" style="197" customWidth="1"/>
    <col min="14086" max="14086" width="10" style="197" customWidth="1"/>
    <col min="14087" max="14087" width="8.88671875" style="197" customWidth="1"/>
    <col min="14088" max="14088" width="11.44140625" style="197" customWidth="1"/>
    <col min="14089" max="14089" width="11.33203125" style="197" customWidth="1"/>
    <col min="14090" max="14090" width="10.33203125" style="197" customWidth="1"/>
    <col min="14091" max="14092" width="3.44140625" style="197" customWidth="1"/>
    <col min="14093" max="14336" width="8.88671875" style="197" customWidth="1"/>
    <col min="14337" max="14337" width="8" style="197" customWidth="1"/>
    <col min="14338" max="14338" width="17.33203125" style="197" customWidth="1"/>
    <col min="14339" max="14339" width="38.44140625" style="197" customWidth="1"/>
    <col min="14340" max="14340" width="8" style="197" customWidth="1"/>
    <col min="14341" max="14341" width="8.88671875" style="197" customWidth="1"/>
    <col min="14342" max="14342" width="10" style="197" customWidth="1"/>
    <col min="14343" max="14343" width="8.88671875" style="197" customWidth="1"/>
    <col min="14344" max="14344" width="11.44140625" style="197" customWidth="1"/>
    <col min="14345" max="14345" width="11.33203125" style="197" customWidth="1"/>
    <col min="14346" max="14346" width="10.33203125" style="197" customWidth="1"/>
    <col min="14347" max="14348" width="3.44140625" style="197" customWidth="1"/>
    <col min="14349" max="14592" width="8.88671875" style="197" customWidth="1"/>
    <col min="14593" max="14593" width="8" style="197" customWidth="1"/>
    <col min="14594" max="14594" width="17.33203125" style="197" customWidth="1"/>
    <col min="14595" max="14595" width="38.44140625" style="197" customWidth="1"/>
    <col min="14596" max="14596" width="8" style="197" customWidth="1"/>
    <col min="14597" max="14597" width="8.88671875" style="197" customWidth="1"/>
    <col min="14598" max="14598" width="10" style="197" customWidth="1"/>
    <col min="14599" max="14599" width="8.88671875" style="197" customWidth="1"/>
    <col min="14600" max="14600" width="11.44140625" style="197" customWidth="1"/>
    <col min="14601" max="14601" width="11.33203125" style="197" customWidth="1"/>
    <col min="14602" max="14602" width="10.33203125" style="197" customWidth="1"/>
    <col min="14603" max="14604" width="3.44140625" style="197" customWidth="1"/>
    <col min="14605" max="14848" width="8.88671875" style="197" customWidth="1"/>
    <col min="14849" max="14849" width="8" style="197" customWidth="1"/>
    <col min="14850" max="14850" width="17.33203125" style="197" customWidth="1"/>
    <col min="14851" max="14851" width="38.44140625" style="197" customWidth="1"/>
    <col min="14852" max="14852" width="8" style="197" customWidth="1"/>
    <col min="14853" max="14853" width="8.88671875" style="197" customWidth="1"/>
    <col min="14854" max="14854" width="10" style="197" customWidth="1"/>
    <col min="14855" max="14855" width="8.88671875" style="197" customWidth="1"/>
    <col min="14856" max="14856" width="11.44140625" style="197" customWidth="1"/>
    <col min="14857" max="14857" width="11.33203125" style="197" customWidth="1"/>
    <col min="14858" max="14858" width="10.33203125" style="197" customWidth="1"/>
    <col min="14859" max="14860" width="3.44140625" style="197" customWidth="1"/>
    <col min="14861" max="15104" width="8.88671875" style="197" customWidth="1"/>
    <col min="15105" max="15105" width="8" style="197" customWidth="1"/>
    <col min="15106" max="15106" width="17.33203125" style="197" customWidth="1"/>
    <col min="15107" max="15107" width="38.44140625" style="197" customWidth="1"/>
    <col min="15108" max="15108" width="8" style="197" customWidth="1"/>
    <col min="15109" max="15109" width="8.88671875" style="197" customWidth="1"/>
    <col min="15110" max="15110" width="10" style="197" customWidth="1"/>
    <col min="15111" max="15111" width="8.88671875" style="197" customWidth="1"/>
    <col min="15112" max="15112" width="11.44140625" style="197" customWidth="1"/>
    <col min="15113" max="15113" width="11.33203125" style="197" customWidth="1"/>
    <col min="15114" max="15114" width="10.33203125" style="197" customWidth="1"/>
    <col min="15115" max="15116" width="3.44140625" style="197" customWidth="1"/>
    <col min="15117" max="15360" width="8.88671875" style="197" customWidth="1"/>
    <col min="15361" max="15361" width="8" style="197" customWidth="1"/>
    <col min="15362" max="15362" width="17.33203125" style="197" customWidth="1"/>
    <col min="15363" max="15363" width="38.44140625" style="197" customWidth="1"/>
    <col min="15364" max="15364" width="8" style="197" customWidth="1"/>
    <col min="15365" max="15365" width="8.88671875" style="197" customWidth="1"/>
    <col min="15366" max="15366" width="10" style="197" customWidth="1"/>
    <col min="15367" max="15367" width="8.88671875" style="197" customWidth="1"/>
    <col min="15368" max="15368" width="11.44140625" style="197" customWidth="1"/>
    <col min="15369" max="15369" width="11.33203125" style="197" customWidth="1"/>
    <col min="15370" max="15370" width="10.33203125" style="197" customWidth="1"/>
    <col min="15371" max="15372" width="3.44140625" style="197" customWidth="1"/>
    <col min="15373" max="15616" width="8.88671875" style="197" customWidth="1"/>
    <col min="15617" max="15617" width="8" style="197" customWidth="1"/>
    <col min="15618" max="15618" width="17.33203125" style="197" customWidth="1"/>
    <col min="15619" max="15619" width="38.44140625" style="197" customWidth="1"/>
    <col min="15620" max="15620" width="8" style="197" customWidth="1"/>
    <col min="15621" max="15621" width="8.88671875" style="197" customWidth="1"/>
    <col min="15622" max="15622" width="10" style="197" customWidth="1"/>
    <col min="15623" max="15623" width="8.88671875" style="197" customWidth="1"/>
    <col min="15624" max="15624" width="11.44140625" style="197" customWidth="1"/>
    <col min="15625" max="15625" width="11.33203125" style="197" customWidth="1"/>
    <col min="15626" max="15626" width="10.33203125" style="197" customWidth="1"/>
    <col min="15627" max="15628" width="3.44140625" style="197" customWidth="1"/>
    <col min="15629" max="15872" width="8.88671875" style="197" customWidth="1"/>
    <col min="15873" max="15873" width="8" style="197" customWidth="1"/>
    <col min="15874" max="15874" width="17.33203125" style="197" customWidth="1"/>
    <col min="15875" max="15875" width="38.44140625" style="197" customWidth="1"/>
    <col min="15876" max="15876" width="8" style="197" customWidth="1"/>
    <col min="15877" max="15877" width="8.88671875" style="197" customWidth="1"/>
    <col min="15878" max="15878" width="10" style="197" customWidth="1"/>
    <col min="15879" max="15879" width="8.88671875" style="197" customWidth="1"/>
    <col min="15880" max="15880" width="11.44140625" style="197" customWidth="1"/>
    <col min="15881" max="15881" width="11.33203125" style="197" customWidth="1"/>
    <col min="15882" max="15882" width="10.33203125" style="197" customWidth="1"/>
    <col min="15883" max="15884" width="3.44140625" style="197" customWidth="1"/>
    <col min="15885" max="16128" width="8.88671875" style="197" customWidth="1"/>
    <col min="16129" max="16129" width="8" style="197" customWidth="1"/>
    <col min="16130" max="16130" width="17.33203125" style="197" customWidth="1"/>
    <col min="16131" max="16131" width="38.44140625" style="197" customWidth="1"/>
    <col min="16132" max="16132" width="8" style="197" customWidth="1"/>
    <col min="16133" max="16133" width="8.88671875" style="197" customWidth="1"/>
    <col min="16134" max="16134" width="10" style="197" customWidth="1"/>
    <col min="16135" max="16135" width="8.88671875" style="197" customWidth="1"/>
    <col min="16136" max="16136" width="11.44140625" style="197" customWidth="1"/>
    <col min="16137" max="16137" width="11.33203125" style="197" customWidth="1"/>
    <col min="16138" max="16138" width="10.33203125" style="197" customWidth="1"/>
    <col min="16139" max="16140" width="3.44140625" style="197" customWidth="1"/>
    <col min="16141" max="16384" width="8.88671875" style="197" customWidth="1"/>
  </cols>
  <sheetData>
    <row r="1" spans="1:12" x14ac:dyDescent="0.2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232"/>
      <c r="L1" s="232"/>
    </row>
    <row r="2" spans="1:12" x14ac:dyDescent="0.25">
      <c r="A2" s="311" t="s">
        <v>505</v>
      </c>
      <c r="B2" s="311" t="s">
        <v>506</v>
      </c>
      <c r="C2" s="312" t="s">
        <v>907</v>
      </c>
      <c r="D2" s="311"/>
      <c r="E2" s="311"/>
      <c r="F2" s="311" t="s">
        <v>507</v>
      </c>
      <c r="G2" s="311" t="s">
        <v>508</v>
      </c>
      <c r="H2" s="311" t="s">
        <v>908</v>
      </c>
      <c r="I2" s="311"/>
      <c r="J2" s="311"/>
      <c r="K2" s="232"/>
      <c r="L2" s="232"/>
    </row>
    <row r="3" spans="1:12" x14ac:dyDescent="0.25">
      <c r="A3" s="311" t="s">
        <v>505</v>
      </c>
      <c r="B3" s="311" t="s">
        <v>909</v>
      </c>
      <c r="C3" s="312" t="s">
        <v>910</v>
      </c>
      <c r="D3" s="311"/>
      <c r="E3" s="311"/>
      <c r="F3" s="311" t="s">
        <v>510</v>
      </c>
      <c r="G3" s="311" t="s">
        <v>511</v>
      </c>
      <c r="H3" s="311" t="s">
        <v>597</v>
      </c>
      <c r="I3" s="311"/>
      <c r="J3" s="311"/>
      <c r="K3" s="232"/>
      <c r="L3" s="232"/>
    </row>
    <row r="4" spans="1:12" x14ac:dyDescent="0.25">
      <c r="A4" s="311"/>
      <c r="B4" s="311"/>
      <c r="C4" s="312"/>
      <c r="D4" s="311"/>
      <c r="E4" s="311"/>
      <c r="F4" s="311"/>
      <c r="G4" s="311"/>
      <c r="H4" s="311"/>
      <c r="I4" s="311"/>
      <c r="J4" s="311"/>
      <c r="K4" s="232"/>
      <c r="L4" s="232"/>
    </row>
    <row r="5" spans="1:12" ht="21" x14ac:dyDescent="0.25">
      <c r="A5" s="311" t="s">
        <v>512</v>
      </c>
      <c r="B5" s="311" t="s">
        <v>513</v>
      </c>
      <c r="C5" s="312" t="s">
        <v>514</v>
      </c>
      <c r="D5" s="311" t="s">
        <v>515</v>
      </c>
      <c r="E5" s="312" t="s">
        <v>516</v>
      </c>
      <c r="F5" s="312" t="s">
        <v>517</v>
      </c>
      <c r="G5" s="312" t="s">
        <v>518</v>
      </c>
      <c r="H5" s="312" t="s">
        <v>519</v>
      </c>
      <c r="I5" s="312" t="s">
        <v>813</v>
      </c>
      <c r="J5" s="312" t="s">
        <v>521</v>
      </c>
      <c r="K5" s="232"/>
      <c r="L5" s="232"/>
    </row>
    <row r="6" spans="1:12" x14ac:dyDescent="0.25">
      <c r="A6" s="311"/>
      <c r="B6" s="311"/>
      <c r="C6" s="312"/>
      <c r="D6" s="311"/>
      <c r="E6" s="311"/>
      <c r="F6" s="311"/>
      <c r="G6" s="311"/>
      <c r="H6" s="311"/>
      <c r="I6" s="311"/>
      <c r="J6" s="311"/>
      <c r="K6" s="232"/>
      <c r="L6" s="232"/>
    </row>
    <row r="7" spans="1:12" x14ac:dyDescent="0.25">
      <c r="A7" s="311"/>
      <c r="B7" s="311" t="s">
        <v>623</v>
      </c>
      <c r="C7" s="312" t="s">
        <v>907</v>
      </c>
      <c r="D7" s="311"/>
      <c r="E7" s="311"/>
      <c r="F7" s="311"/>
      <c r="G7" s="311"/>
      <c r="H7" s="311"/>
      <c r="I7" s="311"/>
      <c r="J7" s="311"/>
      <c r="K7" s="232"/>
      <c r="L7" s="232"/>
    </row>
    <row r="8" spans="1:12" ht="21" x14ac:dyDescent="0.25">
      <c r="A8" s="311">
        <v>1</v>
      </c>
      <c r="B8" s="311" t="s">
        <v>911</v>
      </c>
      <c r="C8" s="312" t="s">
        <v>912</v>
      </c>
      <c r="D8" s="311" t="s">
        <v>282</v>
      </c>
      <c r="E8" s="313">
        <v>21</v>
      </c>
      <c r="F8" s="310"/>
      <c r="G8" s="313">
        <f>E8*F8</f>
        <v>0</v>
      </c>
      <c r="H8" s="313"/>
      <c r="I8" s="313">
        <v>7.0000000000000001E-3</v>
      </c>
      <c r="J8" s="313">
        <v>0.14699999999999999</v>
      </c>
      <c r="K8" s="232"/>
      <c r="L8" s="232"/>
    </row>
    <row r="9" spans="1:12" ht="21" x14ac:dyDescent="0.25">
      <c r="A9" s="311">
        <v>2</v>
      </c>
      <c r="B9" s="311" t="s">
        <v>913</v>
      </c>
      <c r="C9" s="312" t="s">
        <v>914</v>
      </c>
      <c r="D9" s="311" t="s">
        <v>282</v>
      </c>
      <c r="E9" s="313">
        <v>12</v>
      </c>
      <c r="F9" s="310"/>
      <c r="G9" s="313">
        <f t="shared" ref="G9:G11" si="0">E9*F9</f>
        <v>0</v>
      </c>
      <c r="H9" s="313"/>
      <c r="I9" s="313">
        <v>0.01</v>
      </c>
      <c r="J9" s="313">
        <v>0.12</v>
      </c>
      <c r="K9" s="232"/>
      <c r="L9" s="232"/>
    </row>
    <row r="10" spans="1:12" ht="21" x14ac:dyDescent="0.25">
      <c r="A10" s="311">
        <v>3</v>
      </c>
      <c r="B10" s="311" t="s">
        <v>915</v>
      </c>
      <c r="C10" s="312" t="s">
        <v>916</v>
      </c>
      <c r="D10" s="311" t="s">
        <v>524</v>
      </c>
      <c r="E10" s="313">
        <v>23</v>
      </c>
      <c r="F10" s="310"/>
      <c r="G10" s="313">
        <f t="shared" si="0"/>
        <v>0</v>
      </c>
      <c r="H10" s="313"/>
      <c r="I10" s="313">
        <v>4.4999999999999998E-2</v>
      </c>
      <c r="J10" s="313">
        <v>1.0349999999999999</v>
      </c>
      <c r="K10" s="232"/>
      <c r="L10" s="232"/>
    </row>
    <row r="11" spans="1:12" x14ac:dyDescent="0.25">
      <c r="A11" s="311">
        <v>4</v>
      </c>
      <c r="B11" s="311" t="s">
        <v>600</v>
      </c>
      <c r="C11" s="312" t="s">
        <v>917</v>
      </c>
      <c r="D11" s="311" t="s">
        <v>537</v>
      </c>
      <c r="E11" s="313">
        <v>88</v>
      </c>
      <c r="F11" s="310"/>
      <c r="G11" s="313">
        <f t="shared" si="0"/>
        <v>0</v>
      </c>
      <c r="H11" s="313"/>
      <c r="I11" s="313"/>
      <c r="J11" s="313"/>
      <c r="K11" s="232"/>
      <c r="L11" s="232"/>
    </row>
    <row r="12" spans="1:12" x14ac:dyDescent="0.25">
      <c r="A12" s="311">
        <v>5</v>
      </c>
      <c r="B12" s="311" t="s">
        <v>601</v>
      </c>
      <c r="C12" s="312" t="s">
        <v>602</v>
      </c>
      <c r="D12" s="311"/>
      <c r="E12" s="313"/>
      <c r="F12" s="310"/>
      <c r="G12" s="313"/>
      <c r="H12" s="313"/>
      <c r="I12" s="313"/>
      <c r="J12" s="313"/>
      <c r="K12" s="232"/>
      <c r="L12" s="232"/>
    </row>
    <row r="13" spans="1:12" ht="21" x14ac:dyDescent="0.25">
      <c r="A13" s="311">
        <v>6</v>
      </c>
      <c r="B13" s="311" t="s">
        <v>603</v>
      </c>
      <c r="C13" s="312" t="s">
        <v>918</v>
      </c>
      <c r="D13" s="311" t="s">
        <v>524</v>
      </c>
      <c r="E13" s="313">
        <v>1</v>
      </c>
      <c r="F13" s="310"/>
      <c r="G13" s="313"/>
      <c r="H13" s="313">
        <f>E13*F13</f>
        <v>0</v>
      </c>
      <c r="I13" s="313">
        <v>3.0000000000000001E-3</v>
      </c>
      <c r="J13" s="313">
        <v>3.0000000000000001E-3</v>
      </c>
      <c r="K13" s="232"/>
      <c r="L13" s="232"/>
    </row>
    <row r="14" spans="1:12" x14ac:dyDescent="0.25">
      <c r="A14" s="311">
        <v>7</v>
      </c>
      <c r="B14" s="311" t="s">
        <v>919</v>
      </c>
      <c r="C14" s="312" t="s">
        <v>920</v>
      </c>
      <c r="D14" s="311" t="s">
        <v>524</v>
      </c>
      <c r="E14" s="313">
        <v>2</v>
      </c>
      <c r="F14" s="310"/>
      <c r="G14" s="313"/>
      <c r="H14" s="313">
        <f t="shared" ref="H14:H40" si="1">E14*F14</f>
        <v>0</v>
      </c>
      <c r="I14" s="313">
        <v>2E-3</v>
      </c>
      <c r="J14" s="313">
        <v>4.0000000000000001E-3</v>
      </c>
      <c r="K14" s="232"/>
      <c r="L14" s="232"/>
    </row>
    <row r="15" spans="1:12" x14ac:dyDescent="0.25">
      <c r="A15" s="311">
        <v>8</v>
      </c>
      <c r="B15" s="311" t="s">
        <v>604</v>
      </c>
      <c r="C15" s="312" t="s">
        <v>605</v>
      </c>
      <c r="D15" s="311" t="s">
        <v>524</v>
      </c>
      <c r="E15" s="313">
        <v>1</v>
      </c>
      <c r="F15" s="310"/>
      <c r="G15" s="313"/>
      <c r="H15" s="313">
        <f t="shared" si="1"/>
        <v>0</v>
      </c>
      <c r="I15" s="313">
        <v>1E-3</v>
      </c>
      <c r="J15" s="313">
        <v>1E-3</v>
      </c>
      <c r="K15" s="232"/>
      <c r="L15" s="232"/>
    </row>
    <row r="16" spans="1:12" ht="21.9" customHeight="1" x14ac:dyDescent="0.25">
      <c r="A16" s="311">
        <v>9</v>
      </c>
      <c r="B16" s="311" t="s">
        <v>606</v>
      </c>
      <c r="C16" s="312" t="s">
        <v>921</v>
      </c>
      <c r="D16" s="311" t="s">
        <v>524</v>
      </c>
      <c r="E16" s="313">
        <v>2</v>
      </c>
      <c r="F16" s="310"/>
      <c r="G16" s="313"/>
      <c r="H16" s="313">
        <f t="shared" si="1"/>
        <v>0</v>
      </c>
      <c r="I16" s="313">
        <v>1E-3</v>
      </c>
      <c r="J16" s="313">
        <v>2E-3</v>
      </c>
      <c r="K16" s="232"/>
      <c r="L16" s="232"/>
    </row>
    <row r="17" spans="1:12" x14ac:dyDescent="0.25">
      <c r="A17" s="311">
        <v>10</v>
      </c>
      <c r="B17" s="311" t="s">
        <v>607</v>
      </c>
      <c r="C17" s="312" t="s">
        <v>922</v>
      </c>
      <c r="D17" s="311" t="s">
        <v>282</v>
      </c>
      <c r="E17" s="313">
        <v>6</v>
      </c>
      <c r="F17" s="310"/>
      <c r="G17" s="313"/>
      <c r="H17" s="313">
        <f t="shared" si="1"/>
        <v>0</v>
      </c>
      <c r="I17" s="313">
        <v>1E-3</v>
      </c>
      <c r="J17" s="313">
        <v>6.0000000000000001E-3</v>
      </c>
      <c r="K17" s="232"/>
      <c r="L17" s="232"/>
    </row>
    <row r="18" spans="1:12" x14ac:dyDescent="0.25">
      <c r="A18" s="311">
        <v>11</v>
      </c>
      <c r="B18" s="311" t="s">
        <v>608</v>
      </c>
      <c r="C18" s="312" t="s">
        <v>923</v>
      </c>
      <c r="D18" s="311" t="s">
        <v>524</v>
      </c>
      <c r="E18" s="313">
        <v>5</v>
      </c>
      <c r="F18" s="310"/>
      <c r="G18" s="313"/>
      <c r="H18" s="313">
        <f t="shared" si="1"/>
        <v>0</v>
      </c>
      <c r="I18" s="313">
        <v>1E-3</v>
      </c>
      <c r="J18" s="313">
        <v>5.0000000000000001E-3</v>
      </c>
      <c r="K18" s="232"/>
      <c r="L18" s="232"/>
    </row>
    <row r="19" spans="1:12" x14ac:dyDescent="0.25">
      <c r="A19" s="311">
        <v>12</v>
      </c>
      <c r="B19" s="311" t="s">
        <v>609</v>
      </c>
      <c r="C19" s="312" t="s">
        <v>924</v>
      </c>
      <c r="D19" s="311" t="s">
        <v>282</v>
      </c>
      <c r="E19" s="313">
        <v>2</v>
      </c>
      <c r="F19" s="310"/>
      <c r="G19" s="313"/>
      <c r="H19" s="313">
        <f t="shared" si="1"/>
        <v>0</v>
      </c>
      <c r="I19" s="313">
        <v>1E-3</v>
      </c>
      <c r="J19" s="313">
        <v>2E-3</v>
      </c>
      <c r="K19" s="232"/>
      <c r="L19" s="232"/>
    </row>
    <row r="20" spans="1:12" x14ac:dyDescent="0.25">
      <c r="A20" s="311">
        <v>13</v>
      </c>
      <c r="B20" s="311" t="s">
        <v>925</v>
      </c>
      <c r="C20" s="312" t="s">
        <v>926</v>
      </c>
      <c r="D20" s="311"/>
      <c r="E20" s="313"/>
      <c r="F20" s="310"/>
      <c r="G20" s="313"/>
      <c r="H20" s="313"/>
      <c r="I20" s="313"/>
      <c r="J20" s="313"/>
      <c r="K20" s="232"/>
      <c r="L20" s="232"/>
    </row>
    <row r="21" spans="1:12" ht="21" x14ac:dyDescent="0.25">
      <c r="A21" s="311">
        <v>14</v>
      </c>
      <c r="B21" s="311" t="s">
        <v>603</v>
      </c>
      <c r="C21" s="312" t="s">
        <v>927</v>
      </c>
      <c r="D21" s="311" t="s">
        <v>524</v>
      </c>
      <c r="E21" s="313">
        <v>1</v>
      </c>
      <c r="F21" s="310"/>
      <c r="G21" s="313"/>
      <c r="H21" s="313">
        <f t="shared" si="1"/>
        <v>0</v>
      </c>
      <c r="I21" s="313">
        <v>0.01</v>
      </c>
      <c r="J21" s="313">
        <v>0.01</v>
      </c>
      <c r="K21" s="232"/>
      <c r="L21" s="232"/>
    </row>
    <row r="22" spans="1:12" x14ac:dyDescent="0.25">
      <c r="A22" s="311">
        <v>15</v>
      </c>
      <c r="B22" s="311" t="s">
        <v>919</v>
      </c>
      <c r="C22" s="312" t="s">
        <v>928</v>
      </c>
      <c r="D22" s="311" t="s">
        <v>524</v>
      </c>
      <c r="E22" s="313">
        <v>2</v>
      </c>
      <c r="F22" s="310"/>
      <c r="G22" s="313"/>
      <c r="H22" s="313">
        <f t="shared" si="1"/>
        <v>0</v>
      </c>
      <c r="I22" s="313">
        <v>2E-3</v>
      </c>
      <c r="J22" s="313">
        <v>4.0000000000000001E-3</v>
      </c>
      <c r="K22" s="232"/>
      <c r="L22" s="232"/>
    </row>
    <row r="23" spans="1:12" x14ac:dyDescent="0.25">
      <c r="A23" s="311">
        <v>16</v>
      </c>
      <c r="B23" s="311" t="s">
        <v>604</v>
      </c>
      <c r="C23" s="312" t="s">
        <v>929</v>
      </c>
      <c r="D23" s="311" t="s">
        <v>524</v>
      </c>
      <c r="E23" s="313">
        <v>1</v>
      </c>
      <c r="F23" s="310"/>
      <c r="G23" s="313"/>
      <c r="H23" s="313">
        <f t="shared" si="1"/>
        <v>0</v>
      </c>
      <c r="I23" s="313">
        <v>1E-3</v>
      </c>
      <c r="J23" s="313">
        <v>1E-3</v>
      </c>
      <c r="K23" s="232"/>
      <c r="L23" s="232"/>
    </row>
    <row r="24" spans="1:12" ht="21" x14ac:dyDescent="0.25">
      <c r="A24" s="311">
        <v>17</v>
      </c>
      <c r="B24" s="311" t="s">
        <v>606</v>
      </c>
      <c r="C24" s="312" t="s">
        <v>930</v>
      </c>
      <c r="D24" s="311" t="s">
        <v>524</v>
      </c>
      <c r="E24" s="313">
        <v>1</v>
      </c>
      <c r="F24" s="310"/>
      <c r="G24" s="313"/>
      <c r="H24" s="313">
        <f t="shared" si="1"/>
        <v>0</v>
      </c>
      <c r="I24" s="313">
        <v>3.0000000000000001E-3</v>
      </c>
      <c r="J24" s="313">
        <v>3.0000000000000001E-3</v>
      </c>
      <c r="K24" s="232"/>
      <c r="L24" s="232"/>
    </row>
    <row r="25" spans="1:12" x14ac:dyDescent="0.25">
      <c r="A25" s="311">
        <v>18</v>
      </c>
      <c r="B25" s="311" t="s">
        <v>608</v>
      </c>
      <c r="C25" s="312" t="s">
        <v>931</v>
      </c>
      <c r="D25" s="311" t="s">
        <v>282</v>
      </c>
      <c r="E25" s="313">
        <v>13</v>
      </c>
      <c r="F25" s="310"/>
      <c r="G25" s="313"/>
      <c r="H25" s="313">
        <f t="shared" si="1"/>
        <v>0</v>
      </c>
      <c r="I25" s="313">
        <v>2E-3</v>
      </c>
      <c r="J25" s="313">
        <v>2.5999999999999999E-2</v>
      </c>
      <c r="K25" s="232"/>
      <c r="L25" s="232"/>
    </row>
    <row r="26" spans="1:12" x14ac:dyDescent="0.25">
      <c r="A26" s="311">
        <v>19</v>
      </c>
      <c r="B26" s="311" t="s">
        <v>609</v>
      </c>
      <c r="C26" s="312" t="s">
        <v>932</v>
      </c>
      <c r="D26" s="311" t="s">
        <v>524</v>
      </c>
      <c r="E26" s="313">
        <v>6</v>
      </c>
      <c r="F26" s="310"/>
      <c r="G26" s="313"/>
      <c r="H26" s="313">
        <f t="shared" si="1"/>
        <v>0</v>
      </c>
      <c r="I26" s="313">
        <v>1E-3</v>
      </c>
      <c r="J26" s="313">
        <v>6.0000000000000001E-3</v>
      </c>
      <c r="K26" s="232"/>
      <c r="L26" s="232"/>
    </row>
    <row r="27" spans="1:12" x14ac:dyDescent="0.25">
      <c r="A27" s="311">
        <v>20</v>
      </c>
      <c r="B27" s="311" t="s">
        <v>613</v>
      </c>
      <c r="C27" s="312" t="s">
        <v>933</v>
      </c>
      <c r="D27" s="311" t="s">
        <v>282</v>
      </c>
      <c r="E27" s="313">
        <v>3</v>
      </c>
      <c r="F27" s="310"/>
      <c r="G27" s="313"/>
      <c r="H27" s="313">
        <f t="shared" si="1"/>
        <v>0</v>
      </c>
      <c r="I27" s="313">
        <v>1E-3</v>
      </c>
      <c r="J27" s="313">
        <v>3.0000000000000001E-3</v>
      </c>
      <c r="K27" s="232"/>
      <c r="L27" s="232"/>
    </row>
    <row r="28" spans="1:12" ht="31.2" x14ac:dyDescent="0.25">
      <c r="A28" s="311">
        <v>21</v>
      </c>
      <c r="B28" s="311" t="s">
        <v>934</v>
      </c>
      <c r="C28" s="312" t="s">
        <v>935</v>
      </c>
      <c r="D28" s="311" t="s">
        <v>524</v>
      </c>
      <c r="E28" s="313">
        <v>1</v>
      </c>
      <c r="F28" s="310"/>
      <c r="G28" s="313"/>
      <c r="H28" s="313">
        <f t="shared" si="1"/>
        <v>0</v>
      </c>
      <c r="I28" s="313">
        <v>2.1999999999999999E-2</v>
      </c>
      <c r="J28" s="313">
        <v>2.1999999999999999E-2</v>
      </c>
      <c r="K28" s="232"/>
      <c r="L28" s="232"/>
    </row>
    <row r="29" spans="1:12" x14ac:dyDescent="0.25">
      <c r="A29" s="311">
        <v>22</v>
      </c>
      <c r="B29" s="311" t="s">
        <v>611</v>
      </c>
      <c r="C29" s="312" t="s">
        <v>612</v>
      </c>
      <c r="D29" s="311"/>
      <c r="E29" s="313"/>
      <c r="F29" s="310"/>
      <c r="G29" s="313"/>
      <c r="H29" s="313"/>
      <c r="I29" s="313"/>
      <c r="J29" s="313"/>
      <c r="K29" s="232"/>
      <c r="L29" s="232"/>
    </row>
    <row r="30" spans="1:12" x14ac:dyDescent="0.25">
      <c r="A30" s="311">
        <v>23</v>
      </c>
      <c r="B30" s="311" t="s">
        <v>610</v>
      </c>
      <c r="C30" s="312" t="s">
        <v>936</v>
      </c>
      <c r="D30" s="311" t="s">
        <v>524</v>
      </c>
      <c r="E30" s="313">
        <v>13</v>
      </c>
      <c r="F30" s="310"/>
      <c r="G30" s="313"/>
      <c r="H30" s="313">
        <f t="shared" si="1"/>
        <v>0</v>
      </c>
      <c r="I30" s="313">
        <v>1E-3</v>
      </c>
      <c r="J30" s="313">
        <v>1.2999999999999999E-2</v>
      </c>
      <c r="K30" s="232"/>
      <c r="L30" s="232"/>
    </row>
    <row r="31" spans="1:12" ht="21" x14ac:dyDescent="0.25">
      <c r="A31" s="311">
        <v>24</v>
      </c>
      <c r="B31" s="311" t="s">
        <v>603</v>
      </c>
      <c r="C31" s="312" t="s">
        <v>937</v>
      </c>
      <c r="D31" s="311" t="s">
        <v>524</v>
      </c>
      <c r="E31" s="313">
        <v>13</v>
      </c>
      <c r="F31" s="310"/>
      <c r="G31" s="313"/>
      <c r="H31" s="313">
        <f t="shared" si="1"/>
        <v>0</v>
      </c>
      <c r="I31" s="313">
        <v>1E-3</v>
      </c>
      <c r="J31" s="313">
        <v>1.2999999999999999E-2</v>
      </c>
      <c r="K31" s="232"/>
      <c r="L31" s="232"/>
    </row>
    <row r="32" spans="1:12" x14ac:dyDescent="0.25">
      <c r="A32" s="311">
        <v>25</v>
      </c>
      <c r="B32" s="311" t="s">
        <v>604</v>
      </c>
      <c r="C32" s="312" t="s">
        <v>938</v>
      </c>
      <c r="D32" s="311" t="s">
        <v>282</v>
      </c>
      <c r="E32" s="313">
        <v>44</v>
      </c>
      <c r="F32" s="310"/>
      <c r="G32" s="313"/>
      <c r="H32" s="313">
        <f t="shared" si="1"/>
        <v>0</v>
      </c>
      <c r="I32" s="313">
        <v>0.01</v>
      </c>
      <c r="J32" s="313">
        <v>0.44</v>
      </c>
      <c r="K32" s="232"/>
      <c r="L32" s="232"/>
    </row>
    <row r="33" spans="1:12" x14ac:dyDescent="0.25">
      <c r="A33" s="311">
        <v>26</v>
      </c>
      <c r="B33" s="311" t="s">
        <v>606</v>
      </c>
      <c r="C33" s="312" t="s">
        <v>939</v>
      </c>
      <c r="D33" s="311" t="s">
        <v>282</v>
      </c>
      <c r="E33" s="313">
        <v>6</v>
      </c>
      <c r="F33" s="310"/>
      <c r="G33" s="313"/>
      <c r="H33" s="313">
        <f t="shared" si="1"/>
        <v>0</v>
      </c>
      <c r="I33" s="313">
        <v>1E-3</v>
      </c>
      <c r="J33" s="313">
        <v>6.0000000000000001E-3</v>
      </c>
      <c r="K33" s="232"/>
      <c r="L33" s="232"/>
    </row>
    <row r="34" spans="1:12" x14ac:dyDescent="0.25">
      <c r="A34" s="311">
        <v>27</v>
      </c>
      <c r="B34" s="311" t="s">
        <v>607</v>
      </c>
      <c r="C34" s="312" t="s">
        <v>940</v>
      </c>
      <c r="D34" s="311" t="s">
        <v>524</v>
      </c>
      <c r="E34" s="313">
        <v>3</v>
      </c>
      <c r="F34" s="310"/>
      <c r="G34" s="313"/>
      <c r="H34" s="313">
        <f t="shared" si="1"/>
        <v>0</v>
      </c>
      <c r="I34" s="313">
        <v>0.01</v>
      </c>
      <c r="J34" s="313">
        <v>0.03</v>
      </c>
      <c r="K34" s="232"/>
      <c r="L34" s="232"/>
    </row>
    <row r="35" spans="1:12" x14ac:dyDescent="0.25">
      <c r="A35" s="311">
        <v>28</v>
      </c>
      <c r="B35" s="311" t="s">
        <v>608</v>
      </c>
      <c r="C35" s="312" t="s">
        <v>941</v>
      </c>
      <c r="D35" s="311" t="s">
        <v>524</v>
      </c>
      <c r="E35" s="313">
        <v>1</v>
      </c>
      <c r="F35" s="310"/>
      <c r="G35" s="313"/>
      <c r="H35" s="313">
        <f t="shared" si="1"/>
        <v>0</v>
      </c>
      <c r="I35" s="313">
        <v>8.0000000000000002E-3</v>
      </c>
      <c r="J35" s="313">
        <v>8.0000000000000002E-3</v>
      </c>
      <c r="K35" s="232"/>
      <c r="L35" s="232"/>
    </row>
    <row r="36" spans="1:12" x14ac:dyDescent="0.25">
      <c r="A36" s="311">
        <v>29</v>
      </c>
      <c r="B36" s="311" t="s">
        <v>609</v>
      </c>
      <c r="C36" s="312" t="s">
        <v>942</v>
      </c>
      <c r="D36" s="311" t="s">
        <v>524</v>
      </c>
      <c r="E36" s="313">
        <v>2</v>
      </c>
      <c r="F36" s="310"/>
      <c r="G36" s="313"/>
      <c r="H36" s="313">
        <f t="shared" si="1"/>
        <v>0</v>
      </c>
      <c r="I36" s="313">
        <v>1E-3</v>
      </c>
      <c r="J36" s="313">
        <v>2E-3</v>
      </c>
      <c r="K36" s="232"/>
      <c r="L36" s="232"/>
    </row>
    <row r="37" spans="1:12" ht="41.4" x14ac:dyDescent="0.25">
      <c r="A37" s="311">
        <v>30</v>
      </c>
      <c r="B37" s="311" t="s">
        <v>613</v>
      </c>
      <c r="C37" s="312" t="s">
        <v>943</v>
      </c>
      <c r="D37" s="311" t="s">
        <v>524</v>
      </c>
      <c r="E37" s="313">
        <v>1</v>
      </c>
      <c r="F37" s="310"/>
      <c r="G37" s="313"/>
      <c r="H37" s="313">
        <f t="shared" si="1"/>
        <v>0</v>
      </c>
      <c r="I37" s="313">
        <v>0.09</v>
      </c>
      <c r="J37" s="313">
        <v>0.09</v>
      </c>
      <c r="K37" s="232"/>
      <c r="L37" s="232"/>
    </row>
    <row r="38" spans="1:12" x14ac:dyDescent="0.25">
      <c r="A38" s="311">
        <v>31</v>
      </c>
      <c r="B38" s="311" t="s">
        <v>934</v>
      </c>
      <c r="C38" s="312" t="s">
        <v>944</v>
      </c>
      <c r="D38" s="311" t="s">
        <v>524</v>
      </c>
      <c r="E38" s="313">
        <v>1</v>
      </c>
      <c r="F38" s="310"/>
      <c r="G38" s="313"/>
      <c r="H38" s="313">
        <f t="shared" si="1"/>
        <v>0</v>
      </c>
      <c r="I38" s="313">
        <v>1E-3</v>
      </c>
      <c r="J38" s="313">
        <v>1E-3</v>
      </c>
      <c r="K38" s="232"/>
      <c r="L38" s="232"/>
    </row>
    <row r="39" spans="1:12" x14ac:dyDescent="0.25">
      <c r="A39" s="311">
        <v>32</v>
      </c>
      <c r="B39" s="311" t="s">
        <v>945</v>
      </c>
      <c r="C39" s="312" t="s">
        <v>1025</v>
      </c>
      <c r="D39" s="311" t="s">
        <v>524</v>
      </c>
      <c r="E39" s="313">
        <v>1</v>
      </c>
      <c r="F39" s="310"/>
      <c r="G39" s="313"/>
      <c r="H39" s="313">
        <f t="shared" si="1"/>
        <v>0</v>
      </c>
      <c r="I39" s="313">
        <v>1.5E-3</v>
      </c>
      <c r="J39" s="313">
        <v>2E-3</v>
      </c>
      <c r="K39" s="232"/>
      <c r="L39" s="232"/>
    </row>
    <row r="40" spans="1:12" x14ac:dyDescent="0.25">
      <c r="A40" s="311">
        <v>33</v>
      </c>
      <c r="B40" s="311" t="s">
        <v>946</v>
      </c>
      <c r="C40" s="312" t="s">
        <v>947</v>
      </c>
      <c r="D40" s="311" t="s">
        <v>282</v>
      </c>
      <c r="E40" s="313">
        <v>10</v>
      </c>
      <c r="F40" s="310"/>
      <c r="G40" s="313"/>
      <c r="H40" s="313">
        <f t="shared" si="1"/>
        <v>0</v>
      </c>
      <c r="I40" s="313">
        <v>1E-4</v>
      </c>
      <c r="J40" s="313">
        <v>1E-3</v>
      </c>
      <c r="K40" s="232"/>
      <c r="L40" s="232"/>
    </row>
    <row r="41" spans="1:12" x14ac:dyDescent="0.25">
      <c r="A41" s="311">
        <v>34</v>
      </c>
      <c r="B41" s="311" t="s">
        <v>614</v>
      </c>
      <c r="C41" s="312" t="s">
        <v>948</v>
      </c>
      <c r="D41" s="311" t="s">
        <v>522</v>
      </c>
      <c r="E41" s="313">
        <v>1</v>
      </c>
      <c r="F41" s="310"/>
      <c r="G41" s="313">
        <f t="shared" ref="G41:G43" si="2">E41*F41</f>
        <v>0</v>
      </c>
      <c r="H41" s="313"/>
      <c r="I41" s="313"/>
      <c r="J41" s="313"/>
      <c r="K41" s="232"/>
      <c r="L41" s="232"/>
    </row>
    <row r="42" spans="1:12" x14ac:dyDescent="0.25">
      <c r="A42" s="311">
        <v>35</v>
      </c>
      <c r="B42" s="311" t="s">
        <v>615</v>
      </c>
      <c r="C42" s="312" t="s">
        <v>949</v>
      </c>
      <c r="D42" s="311" t="s">
        <v>544</v>
      </c>
      <c r="E42" s="313">
        <v>55</v>
      </c>
      <c r="F42" s="310"/>
      <c r="G42" s="313">
        <f t="shared" si="2"/>
        <v>0</v>
      </c>
      <c r="H42" s="313"/>
      <c r="I42" s="313">
        <v>1E-3</v>
      </c>
      <c r="J42" s="313">
        <v>5.5E-2</v>
      </c>
      <c r="K42" s="232"/>
      <c r="L42" s="232"/>
    </row>
    <row r="43" spans="1:12" x14ac:dyDescent="0.25">
      <c r="A43" s="311">
        <v>36</v>
      </c>
      <c r="B43" s="311" t="s">
        <v>616</v>
      </c>
      <c r="C43" s="312" t="s">
        <v>950</v>
      </c>
      <c r="D43" s="311" t="s">
        <v>544</v>
      </c>
      <c r="E43" s="313">
        <v>55</v>
      </c>
      <c r="F43" s="310"/>
      <c r="G43" s="313">
        <f t="shared" si="2"/>
        <v>0</v>
      </c>
      <c r="H43" s="313"/>
      <c r="I43" s="313">
        <v>1E-3</v>
      </c>
      <c r="J43" s="313">
        <v>5.5E-2</v>
      </c>
      <c r="K43" s="232"/>
      <c r="L43" s="232"/>
    </row>
    <row r="44" spans="1:12" x14ac:dyDescent="0.25">
      <c r="A44" s="311">
        <v>37</v>
      </c>
      <c r="B44" s="311" t="s">
        <v>617</v>
      </c>
      <c r="C44" s="312" t="s">
        <v>618</v>
      </c>
      <c r="D44" s="311" t="s">
        <v>522</v>
      </c>
      <c r="E44" s="313">
        <v>0</v>
      </c>
      <c r="F44" s="310"/>
      <c r="G44" s="313"/>
      <c r="H44" s="313"/>
      <c r="I44" s="313">
        <v>0.08</v>
      </c>
      <c r="J44" s="313"/>
      <c r="K44" s="232"/>
      <c r="L44" s="232"/>
    </row>
    <row r="45" spans="1:12" x14ac:dyDescent="0.25">
      <c r="A45" s="311">
        <v>38</v>
      </c>
      <c r="B45" s="311" t="s">
        <v>619</v>
      </c>
      <c r="C45" s="312" t="s">
        <v>951</v>
      </c>
      <c r="D45" s="311" t="s">
        <v>525</v>
      </c>
      <c r="E45" s="313">
        <v>39.5</v>
      </c>
      <c r="F45" s="310"/>
      <c r="G45" s="313">
        <f t="shared" ref="G45:G48" si="3">E45*F45</f>
        <v>0</v>
      </c>
      <c r="H45" s="313"/>
      <c r="I45" s="313">
        <v>1E-3</v>
      </c>
      <c r="J45" s="313">
        <v>0.04</v>
      </c>
      <c r="K45" s="232"/>
      <c r="L45" s="232"/>
    </row>
    <row r="46" spans="1:12" x14ac:dyDescent="0.25">
      <c r="A46" s="311">
        <v>39</v>
      </c>
      <c r="B46" s="311" t="s">
        <v>952</v>
      </c>
      <c r="C46" s="312" t="s">
        <v>953</v>
      </c>
      <c r="D46" s="311" t="s">
        <v>537</v>
      </c>
      <c r="E46" s="313">
        <v>21</v>
      </c>
      <c r="F46" s="310"/>
      <c r="G46" s="313">
        <f t="shared" si="3"/>
        <v>0</v>
      </c>
      <c r="H46" s="313"/>
      <c r="I46" s="313"/>
      <c r="J46" s="313"/>
      <c r="K46" s="232"/>
      <c r="L46" s="232"/>
    </row>
    <row r="47" spans="1:12" x14ac:dyDescent="0.25">
      <c r="A47" s="311">
        <v>40</v>
      </c>
      <c r="B47" s="311" t="s">
        <v>620</v>
      </c>
      <c r="C47" s="312" t="s">
        <v>954</v>
      </c>
      <c r="D47" s="311" t="s">
        <v>537</v>
      </c>
      <c r="E47" s="313">
        <v>12</v>
      </c>
      <c r="F47" s="310"/>
      <c r="G47" s="313">
        <f t="shared" si="3"/>
        <v>0</v>
      </c>
      <c r="H47" s="313"/>
      <c r="I47" s="313"/>
      <c r="J47" s="313"/>
      <c r="K47" s="232"/>
      <c r="L47" s="232"/>
    </row>
    <row r="48" spans="1:12" x14ac:dyDescent="0.25">
      <c r="A48" s="311">
        <v>41</v>
      </c>
      <c r="B48" s="311" t="s">
        <v>621</v>
      </c>
      <c r="C48" s="312" t="s">
        <v>622</v>
      </c>
      <c r="D48" s="311" t="s">
        <v>526</v>
      </c>
      <c r="E48" s="313">
        <v>2.04</v>
      </c>
      <c r="F48" s="310"/>
      <c r="G48" s="313">
        <f t="shared" si="3"/>
        <v>0</v>
      </c>
      <c r="H48" s="313"/>
      <c r="I48" s="313"/>
      <c r="J48" s="313"/>
      <c r="K48" s="232"/>
      <c r="L48" s="232"/>
    </row>
    <row r="49" spans="1:12" x14ac:dyDescent="0.25">
      <c r="A49" s="314"/>
      <c r="B49" s="314" t="s">
        <v>955</v>
      </c>
      <c r="C49" s="315" t="s">
        <v>624</v>
      </c>
      <c r="D49" s="314"/>
      <c r="E49" s="316"/>
      <c r="F49" s="316"/>
      <c r="G49" s="316">
        <f>SUM(G8:G48)</f>
        <v>0</v>
      </c>
      <c r="H49" s="316">
        <f>SUM(H8:H48)</f>
        <v>0</v>
      </c>
      <c r="I49" s="316"/>
      <c r="J49" s="316">
        <v>2.1419999999999999</v>
      </c>
      <c r="K49" s="232"/>
      <c r="L49" s="232"/>
    </row>
    <row r="50" spans="1:12" x14ac:dyDescent="0.25">
      <c r="A50" s="311"/>
      <c r="B50" s="311"/>
      <c r="C50" s="312"/>
      <c r="D50" s="311"/>
      <c r="E50" s="313"/>
      <c r="F50" s="313"/>
      <c r="G50" s="313"/>
      <c r="H50" s="313"/>
      <c r="I50" s="313"/>
      <c r="J50" s="313"/>
      <c r="K50" s="232"/>
      <c r="L50" s="232"/>
    </row>
    <row r="51" spans="1:12" x14ac:dyDescent="0.25">
      <c r="A51" s="317"/>
      <c r="B51" s="317"/>
      <c r="C51" s="318" t="s">
        <v>596</v>
      </c>
      <c r="D51" s="317"/>
      <c r="E51" s="319"/>
      <c r="F51" s="319"/>
      <c r="G51" s="319">
        <f>G49+H49</f>
        <v>0</v>
      </c>
      <c r="H51" s="319" t="s">
        <v>527</v>
      </c>
      <c r="I51" s="319"/>
      <c r="J51" s="319"/>
      <c r="K51" s="232"/>
      <c r="L51" s="232"/>
    </row>
    <row r="52" spans="1:12" x14ac:dyDescent="0.2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</row>
    <row r="53" spans="1:12" x14ac:dyDescent="0.25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</row>
    <row r="54" spans="1:12" x14ac:dyDescent="0.25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</row>
    <row r="55" spans="1:12" x14ac:dyDescent="0.25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</row>
    <row r="56" spans="1:12" x14ac:dyDescent="0.25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</row>
    <row r="57" spans="1:12" x14ac:dyDescent="0.25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</row>
    <row r="58" spans="1:12" x14ac:dyDescent="0.25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</row>
    <row r="59" spans="1:12" x14ac:dyDescent="0.25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</row>
    <row r="60" spans="1:12" x14ac:dyDescent="0.25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</row>
    <row r="61" spans="1:12" x14ac:dyDescent="0.2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</row>
    <row r="62" spans="1:12" x14ac:dyDescent="0.25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</row>
    <row r="63" spans="1:12" x14ac:dyDescent="0.25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</row>
    <row r="64" spans="1:12" x14ac:dyDescent="0.25">
      <c r="A64" s="232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</row>
    <row r="65" spans="1:12" x14ac:dyDescent="0.25">
      <c r="A65" s="232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</row>
    <row r="66" spans="1:12" x14ac:dyDescent="0.25">
      <c r="A66" s="232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</row>
    <row r="67" spans="1:12" x14ac:dyDescent="0.25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</row>
    <row r="68" spans="1:12" x14ac:dyDescent="0.25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</row>
    <row r="69" spans="1:12" x14ac:dyDescent="0.25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</row>
    <row r="70" spans="1:12" x14ac:dyDescent="0.2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</row>
    <row r="71" spans="1:12" x14ac:dyDescent="0.25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</row>
  </sheetData>
  <sheetProtection algorithmName="SHA-512" hashValue="b7EuLyMh1LeND1GchZ5L0Q1jSf5Ds9WyNOPE3IU1ttiEdbyRkweu2v12Sje9ap+vj4kBq//ai7O6jGyt1hbiyw==" saltValue="xfmsb0IQZdGMkgCqrDBKAw==" spinCount="100000" sheet="1" objects="1" scenarios="1"/>
  <pageMargins left="0.74791666666666701" right="0.74791666666666701" top="0.98402777777777795" bottom="0.98402777777777795" header="0.511811023622047" footer="0.511811023622047"/>
  <pageSetup paperSize="9" scale="61" firstPageNumber="0" fitToHeight="9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31" zoomScaleNormal="100" workbookViewId="0">
      <selection activeCell="O47" sqref="O47"/>
    </sheetView>
  </sheetViews>
  <sheetFormatPr defaultColWidth="11.44140625" defaultRowHeight="13.2" x14ac:dyDescent="0.25"/>
  <cols>
    <col min="1" max="1" width="8" style="197" customWidth="1"/>
    <col min="2" max="2" width="17.44140625" style="197" customWidth="1"/>
    <col min="3" max="3" width="38.44140625" style="197" customWidth="1"/>
    <col min="4" max="4" width="5.44140625" style="197" customWidth="1"/>
    <col min="5" max="5" width="8.88671875" style="197" customWidth="1"/>
    <col min="6" max="6" width="10" style="197" customWidth="1"/>
    <col min="7" max="8" width="8.88671875" style="197" customWidth="1"/>
    <col min="9" max="9" width="9.109375" style="197" customWidth="1"/>
    <col min="10" max="10" width="8.33203125" style="197" customWidth="1"/>
    <col min="11" max="256" width="8.88671875" style="197" customWidth="1"/>
    <col min="257" max="257" width="8" style="197" customWidth="1"/>
    <col min="258" max="258" width="17.44140625" style="197" customWidth="1"/>
    <col min="259" max="259" width="38.44140625" style="197" customWidth="1"/>
    <col min="260" max="260" width="5.44140625" style="197" customWidth="1"/>
    <col min="261" max="261" width="8.88671875" style="197" customWidth="1"/>
    <col min="262" max="262" width="10" style="197" customWidth="1"/>
    <col min="263" max="264" width="8.88671875" style="197" customWidth="1"/>
    <col min="265" max="265" width="9.109375" style="197" customWidth="1"/>
    <col min="266" max="266" width="8.33203125" style="197" customWidth="1"/>
    <col min="267" max="512" width="8.88671875" style="197" customWidth="1"/>
    <col min="513" max="513" width="8" style="197" customWidth="1"/>
    <col min="514" max="514" width="17.44140625" style="197" customWidth="1"/>
    <col min="515" max="515" width="38.44140625" style="197" customWidth="1"/>
    <col min="516" max="516" width="5.44140625" style="197" customWidth="1"/>
    <col min="517" max="517" width="8.88671875" style="197" customWidth="1"/>
    <col min="518" max="518" width="10" style="197" customWidth="1"/>
    <col min="519" max="520" width="8.88671875" style="197" customWidth="1"/>
    <col min="521" max="521" width="9.109375" style="197" customWidth="1"/>
    <col min="522" max="522" width="8.33203125" style="197" customWidth="1"/>
    <col min="523" max="768" width="8.88671875" style="197" customWidth="1"/>
    <col min="769" max="769" width="8" style="197" customWidth="1"/>
    <col min="770" max="770" width="17.44140625" style="197" customWidth="1"/>
    <col min="771" max="771" width="38.44140625" style="197" customWidth="1"/>
    <col min="772" max="772" width="5.44140625" style="197" customWidth="1"/>
    <col min="773" max="773" width="8.88671875" style="197" customWidth="1"/>
    <col min="774" max="774" width="10" style="197" customWidth="1"/>
    <col min="775" max="776" width="8.88671875" style="197" customWidth="1"/>
    <col min="777" max="777" width="9.109375" style="197" customWidth="1"/>
    <col min="778" max="778" width="8.33203125" style="197" customWidth="1"/>
    <col min="779" max="1024" width="8.88671875" style="197" customWidth="1"/>
    <col min="1025" max="1025" width="8" style="197" customWidth="1"/>
    <col min="1026" max="1026" width="17.44140625" style="197" customWidth="1"/>
    <col min="1027" max="1027" width="38.44140625" style="197" customWidth="1"/>
    <col min="1028" max="1028" width="5.44140625" style="197" customWidth="1"/>
    <col min="1029" max="1029" width="8.88671875" style="197" customWidth="1"/>
    <col min="1030" max="1030" width="10" style="197" customWidth="1"/>
    <col min="1031" max="1032" width="8.88671875" style="197" customWidth="1"/>
    <col min="1033" max="1033" width="9.109375" style="197" customWidth="1"/>
    <col min="1034" max="1034" width="8.33203125" style="197" customWidth="1"/>
    <col min="1035" max="1280" width="8.88671875" style="197" customWidth="1"/>
    <col min="1281" max="1281" width="8" style="197" customWidth="1"/>
    <col min="1282" max="1282" width="17.44140625" style="197" customWidth="1"/>
    <col min="1283" max="1283" width="38.44140625" style="197" customWidth="1"/>
    <col min="1284" max="1284" width="5.44140625" style="197" customWidth="1"/>
    <col min="1285" max="1285" width="8.88671875" style="197" customWidth="1"/>
    <col min="1286" max="1286" width="10" style="197" customWidth="1"/>
    <col min="1287" max="1288" width="8.88671875" style="197" customWidth="1"/>
    <col min="1289" max="1289" width="9.109375" style="197" customWidth="1"/>
    <col min="1290" max="1290" width="8.33203125" style="197" customWidth="1"/>
    <col min="1291" max="1536" width="8.88671875" style="197" customWidth="1"/>
    <col min="1537" max="1537" width="8" style="197" customWidth="1"/>
    <col min="1538" max="1538" width="17.44140625" style="197" customWidth="1"/>
    <col min="1539" max="1539" width="38.44140625" style="197" customWidth="1"/>
    <col min="1540" max="1540" width="5.44140625" style="197" customWidth="1"/>
    <col min="1541" max="1541" width="8.88671875" style="197" customWidth="1"/>
    <col min="1542" max="1542" width="10" style="197" customWidth="1"/>
    <col min="1543" max="1544" width="8.88671875" style="197" customWidth="1"/>
    <col min="1545" max="1545" width="9.109375" style="197" customWidth="1"/>
    <col min="1546" max="1546" width="8.33203125" style="197" customWidth="1"/>
    <col min="1547" max="1792" width="8.88671875" style="197" customWidth="1"/>
    <col min="1793" max="1793" width="8" style="197" customWidth="1"/>
    <col min="1794" max="1794" width="17.44140625" style="197" customWidth="1"/>
    <col min="1795" max="1795" width="38.44140625" style="197" customWidth="1"/>
    <col min="1796" max="1796" width="5.44140625" style="197" customWidth="1"/>
    <col min="1797" max="1797" width="8.88671875" style="197" customWidth="1"/>
    <col min="1798" max="1798" width="10" style="197" customWidth="1"/>
    <col min="1799" max="1800" width="8.88671875" style="197" customWidth="1"/>
    <col min="1801" max="1801" width="9.109375" style="197" customWidth="1"/>
    <col min="1802" max="1802" width="8.33203125" style="197" customWidth="1"/>
    <col min="1803" max="2048" width="8.88671875" style="197" customWidth="1"/>
    <col min="2049" max="2049" width="8" style="197" customWidth="1"/>
    <col min="2050" max="2050" width="17.44140625" style="197" customWidth="1"/>
    <col min="2051" max="2051" width="38.44140625" style="197" customWidth="1"/>
    <col min="2052" max="2052" width="5.44140625" style="197" customWidth="1"/>
    <col min="2053" max="2053" width="8.88671875" style="197" customWidth="1"/>
    <col min="2054" max="2054" width="10" style="197" customWidth="1"/>
    <col min="2055" max="2056" width="8.88671875" style="197" customWidth="1"/>
    <col min="2057" max="2057" width="9.109375" style="197" customWidth="1"/>
    <col min="2058" max="2058" width="8.33203125" style="197" customWidth="1"/>
    <col min="2059" max="2304" width="8.88671875" style="197" customWidth="1"/>
    <col min="2305" max="2305" width="8" style="197" customWidth="1"/>
    <col min="2306" max="2306" width="17.44140625" style="197" customWidth="1"/>
    <col min="2307" max="2307" width="38.44140625" style="197" customWidth="1"/>
    <col min="2308" max="2308" width="5.44140625" style="197" customWidth="1"/>
    <col min="2309" max="2309" width="8.88671875" style="197" customWidth="1"/>
    <col min="2310" max="2310" width="10" style="197" customWidth="1"/>
    <col min="2311" max="2312" width="8.88671875" style="197" customWidth="1"/>
    <col min="2313" max="2313" width="9.109375" style="197" customWidth="1"/>
    <col min="2314" max="2314" width="8.33203125" style="197" customWidth="1"/>
    <col min="2315" max="2560" width="8.88671875" style="197" customWidth="1"/>
    <col min="2561" max="2561" width="8" style="197" customWidth="1"/>
    <col min="2562" max="2562" width="17.44140625" style="197" customWidth="1"/>
    <col min="2563" max="2563" width="38.44140625" style="197" customWidth="1"/>
    <col min="2564" max="2564" width="5.44140625" style="197" customWidth="1"/>
    <col min="2565" max="2565" width="8.88671875" style="197" customWidth="1"/>
    <col min="2566" max="2566" width="10" style="197" customWidth="1"/>
    <col min="2567" max="2568" width="8.88671875" style="197" customWidth="1"/>
    <col min="2569" max="2569" width="9.109375" style="197" customWidth="1"/>
    <col min="2570" max="2570" width="8.33203125" style="197" customWidth="1"/>
    <col min="2571" max="2816" width="8.88671875" style="197" customWidth="1"/>
    <col min="2817" max="2817" width="8" style="197" customWidth="1"/>
    <col min="2818" max="2818" width="17.44140625" style="197" customWidth="1"/>
    <col min="2819" max="2819" width="38.44140625" style="197" customWidth="1"/>
    <col min="2820" max="2820" width="5.44140625" style="197" customWidth="1"/>
    <col min="2821" max="2821" width="8.88671875" style="197" customWidth="1"/>
    <col min="2822" max="2822" width="10" style="197" customWidth="1"/>
    <col min="2823" max="2824" width="8.88671875" style="197" customWidth="1"/>
    <col min="2825" max="2825" width="9.109375" style="197" customWidth="1"/>
    <col min="2826" max="2826" width="8.33203125" style="197" customWidth="1"/>
    <col min="2827" max="3072" width="8.88671875" style="197" customWidth="1"/>
    <col min="3073" max="3073" width="8" style="197" customWidth="1"/>
    <col min="3074" max="3074" width="17.44140625" style="197" customWidth="1"/>
    <col min="3075" max="3075" width="38.44140625" style="197" customWidth="1"/>
    <col min="3076" max="3076" width="5.44140625" style="197" customWidth="1"/>
    <col min="3077" max="3077" width="8.88671875" style="197" customWidth="1"/>
    <col min="3078" max="3078" width="10" style="197" customWidth="1"/>
    <col min="3079" max="3080" width="8.88671875" style="197" customWidth="1"/>
    <col min="3081" max="3081" width="9.109375" style="197" customWidth="1"/>
    <col min="3082" max="3082" width="8.33203125" style="197" customWidth="1"/>
    <col min="3083" max="3328" width="8.88671875" style="197" customWidth="1"/>
    <col min="3329" max="3329" width="8" style="197" customWidth="1"/>
    <col min="3330" max="3330" width="17.44140625" style="197" customWidth="1"/>
    <col min="3331" max="3331" width="38.44140625" style="197" customWidth="1"/>
    <col min="3332" max="3332" width="5.44140625" style="197" customWidth="1"/>
    <col min="3333" max="3333" width="8.88671875" style="197" customWidth="1"/>
    <col min="3334" max="3334" width="10" style="197" customWidth="1"/>
    <col min="3335" max="3336" width="8.88671875" style="197" customWidth="1"/>
    <col min="3337" max="3337" width="9.109375" style="197" customWidth="1"/>
    <col min="3338" max="3338" width="8.33203125" style="197" customWidth="1"/>
    <col min="3339" max="3584" width="8.88671875" style="197" customWidth="1"/>
    <col min="3585" max="3585" width="8" style="197" customWidth="1"/>
    <col min="3586" max="3586" width="17.44140625" style="197" customWidth="1"/>
    <col min="3587" max="3587" width="38.44140625" style="197" customWidth="1"/>
    <col min="3588" max="3588" width="5.44140625" style="197" customWidth="1"/>
    <col min="3589" max="3589" width="8.88671875" style="197" customWidth="1"/>
    <col min="3590" max="3590" width="10" style="197" customWidth="1"/>
    <col min="3591" max="3592" width="8.88671875" style="197" customWidth="1"/>
    <col min="3593" max="3593" width="9.109375" style="197" customWidth="1"/>
    <col min="3594" max="3594" width="8.33203125" style="197" customWidth="1"/>
    <col min="3595" max="3840" width="8.88671875" style="197" customWidth="1"/>
    <col min="3841" max="3841" width="8" style="197" customWidth="1"/>
    <col min="3842" max="3842" width="17.44140625" style="197" customWidth="1"/>
    <col min="3843" max="3843" width="38.44140625" style="197" customWidth="1"/>
    <col min="3844" max="3844" width="5.44140625" style="197" customWidth="1"/>
    <col min="3845" max="3845" width="8.88671875" style="197" customWidth="1"/>
    <col min="3846" max="3846" width="10" style="197" customWidth="1"/>
    <col min="3847" max="3848" width="8.88671875" style="197" customWidth="1"/>
    <col min="3849" max="3849" width="9.109375" style="197" customWidth="1"/>
    <col min="3850" max="3850" width="8.33203125" style="197" customWidth="1"/>
    <col min="3851" max="4096" width="8.88671875" style="197" customWidth="1"/>
    <col min="4097" max="4097" width="8" style="197" customWidth="1"/>
    <col min="4098" max="4098" width="17.44140625" style="197" customWidth="1"/>
    <col min="4099" max="4099" width="38.44140625" style="197" customWidth="1"/>
    <col min="4100" max="4100" width="5.44140625" style="197" customWidth="1"/>
    <col min="4101" max="4101" width="8.88671875" style="197" customWidth="1"/>
    <col min="4102" max="4102" width="10" style="197" customWidth="1"/>
    <col min="4103" max="4104" width="8.88671875" style="197" customWidth="1"/>
    <col min="4105" max="4105" width="9.109375" style="197" customWidth="1"/>
    <col min="4106" max="4106" width="8.33203125" style="197" customWidth="1"/>
    <col min="4107" max="4352" width="8.88671875" style="197" customWidth="1"/>
    <col min="4353" max="4353" width="8" style="197" customWidth="1"/>
    <col min="4354" max="4354" width="17.44140625" style="197" customWidth="1"/>
    <col min="4355" max="4355" width="38.44140625" style="197" customWidth="1"/>
    <col min="4356" max="4356" width="5.44140625" style="197" customWidth="1"/>
    <col min="4357" max="4357" width="8.88671875" style="197" customWidth="1"/>
    <col min="4358" max="4358" width="10" style="197" customWidth="1"/>
    <col min="4359" max="4360" width="8.88671875" style="197" customWidth="1"/>
    <col min="4361" max="4361" width="9.109375" style="197" customWidth="1"/>
    <col min="4362" max="4362" width="8.33203125" style="197" customWidth="1"/>
    <col min="4363" max="4608" width="8.88671875" style="197" customWidth="1"/>
    <col min="4609" max="4609" width="8" style="197" customWidth="1"/>
    <col min="4610" max="4610" width="17.44140625" style="197" customWidth="1"/>
    <col min="4611" max="4611" width="38.44140625" style="197" customWidth="1"/>
    <col min="4612" max="4612" width="5.44140625" style="197" customWidth="1"/>
    <col min="4613" max="4613" width="8.88671875" style="197" customWidth="1"/>
    <col min="4614" max="4614" width="10" style="197" customWidth="1"/>
    <col min="4615" max="4616" width="8.88671875" style="197" customWidth="1"/>
    <col min="4617" max="4617" width="9.109375" style="197" customWidth="1"/>
    <col min="4618" max="4618" width="8.33203125" style="197" customWidth="1"/>
    <col min="4619" max="4864" width="8.88671875" style="197" customWidth="1"/>
    <col min="4865" max="4865" width="8" style="197" customWidth="1"/>
    <col min="4866" max="4866" width="17.44140625" style="197" customWidth="1"/>
    <col min="4867" max="4867" width="38.44140625" style="197" customWidth="1"/>
    <col min="4868" max="4868" width="5.44140625" style="197" customWidth="1"/>
    <col min="4869" max="4869" width="8.88671875" style="197" customWidth="1"/>
    <col min="4870" max="4870" width="10" style="197" customWidth="1"/>
    <col min="4871" max="4872" width="8.88671875" style="197" customWidth="1"/>
    <col min="4873" max="4873" width="9.109375" style="197" customWidth="1"/>
    <col min="4874" max="4874" width="8.33203125" style="197" customWidth="1"/>
    <col min="4875" max="5120" width="8.88671875" style="197" customWidth="1"/>
    <col min="5121" max="5121" width="8" style="197" customWidth="1"/>
    <col min="5122" max="5122" width="17.44140625" style="197" customWidth="1"/>
    <col min="5123" max="5123" width="38.44140625" style="197" customWidth="1"/>
    <col min="5124" max="5124" width="5.44140625" style="197" customWidth="1"/>
    <col min="5125" max="5125" width="8.88671875" style="197" customWidth="1"/>
    <col min="5126" max="5126" width="10" style="197" customWidth="1"/>
    <col min="5127" max="5128" width="8.88671875" style="197" customWidth="1"/>
    <col min="5129" max="5129" width="9.109375" style="197" customWidth="1"/>
    <col min="5130" max="5130" width="8.33203125" style="197" customWidth="1"/>
    <col min="5131" max="5376" width="8.88671875" style="197" customWidth="1"/>
    <col min="5377" max="5377" width="8" style="197" customWidth="1"/>
    <col min="5378" max="5378" width="17.44140625" style="197" customWidth="1"/>
    <col min="5379" max="5379" width="38.44140625" style="197" customWidth="1"/>
    <col min="5380" max="5380" width="5.44140625" style="197" customWidth="1"/>
    <col min="5381" max="5381" width="8.88671875" style="197" customWidth="1"/>
    <col min="5382" max="5382" width="10" style="197" customWidth="1"/>
    <col min="5383" max="5384" width="8.88671875" style="197" customWidth="1"/>
    <col min="5385" max="5385" width="9.109375" style="197" customWidth="1"/>
    <col min="5386" max="5386" width="8.33203125" style="197" customWidth="1"/>
    <col min="5387" max="5632" width="8.88671875" style="197" customWidth="1"/>
    <col min="5633" max="5633" width="8" style="197" customWidth="1"/>
    <col min="5634" max="5634" width="17.44140625" style="197" customWidth="1"/>
    <col min="5635" max="5635" width="38.44140625" style="197" customWidth="1"/>
    <col min="5636" max="5636" width="5.44140625" style="197" customWidth="1"/>
    <col min="5637" max="5637" width="8.88671875" style="197" customWidth="1"/>
    <col min="5638" max="5638" width="10" style="197" customWidth="1"/>
    <col min="5639" max="5640" width="8.88671875" style="197" customWidth="1"/>
    <col min="5641" max="5641" width="9.109375" style="197" customWidth="1"/>
    <col min="5642" max="5642" width="8.33203125" style="197" customWidth="1"/>
    <col min="5643" max="5888" width="8.88671875" style="197" customWidth="1"/>
    <col min="5889" max="5889" width="8" style="197" customWidth="1"/>
    <col min="5890" max="5890" width="17.44140625" style="197" customWidth="1"/>
    <col min="5891" max="5891" width="38.44140625" style="197" customWidth="1"/>
    <col min="5892" max="5892" width="5.44140625" style="197" customWidth="1"/>
    <col min="5893" max="5893" width="8.88671875" style="197" customWidth="1"/>
    <col min="5894" max="5894" width="10" style="197" customWidth="1"/>
    <col min="5895" max="5896" width="8.88671875" style="197" customWidth="1"/>
    <col min="5897" max="5897" width="9.109375" style="197" customWidth="1"/>
    <col min="5898" max="5898" width="8.33203125" style="197" customWidth="1"/>
    <col min="5899" max="6144" width="8.88671875" style="197" customWidth="1"/>
    <col min="6145" max="6145" width="8" style="197" customWidth="1"/>
    <col min="6146" max="6146" width="17.44140625" style="197" customWidth="1"/>
    <col min="6147" max="6147" width="38.44140625" style="197" customWidth="1"/>
    <col min="6148" max="6148" width="5.44140625" style="197" customWidth="1"/>
    <col min="6149" max="6149" width="8.88671875" style="197" customWidth="1"/>
    <col min="6150" max="6150" width="10" style="197" customWidth="1"/>
    <col min="6151" max="6152" width="8.88671875" style="197" customWidth="1"/>
    <col min="6153" max="6153" width="9.109375" style="197" customWidth="1"/>
    <col min="6154" max="6154" width="8.33203125" style="197" customWidth="1"/>
    <col min="6155" max="6400" width="8.88671875" style="197" customWidth="1"/>
    <col min="6401" max="6401" width="8" style="197" customWidth="1"/>
    <col min="6402" max="6402" width="17.44140625" style="197" customWidth="1"/>
    <col min="6403" max="6403" width="38.44140625" style="197" customWidth="1"/>
    <col min="6404" max="6404" width="5.44140625" style="197" customWidth="1"/>
    <col min="6405" max="6405" width="8.88671875" style="197" customWidth="1"/>
    <col min="6406" max="6406" width="10" style="197" customWidth="1"/>
    <col min="6407" max="6408" width="8.88671875" style="197" customWidth="1"/>
    <col min="6409" max="6409" width="9.109375" style="197" customWidth="1"/>
    <col min="6410" max="6410" width="8.33203125" style="197" customWidth="1"/>
    <col min="6411" max="6656" width="8.88671875" style="197" customWidth="1"/>
    <col min="6657" max="6657" width="8" style="197" customWidth="1"/>
    <col min="6658" max="6658" width="17.44140625" style="197" customWidth="1"/>
    <col min="6659" max="6659" width="38.44140625" style="197" customWidth="1"/>
    <col min="6660" max="6660" width="5.44140625" style="197" customWidth="1"/>
    <col min="6661" max="6661" width="8.88671875" style="197" customWidth="1"/>
    <col min="6662" max="6662" width="10" style="197" customWidth="1"/>
    <col min="6663" max="6664" width="8.88671875" style="197" customWidth="1"/>
    <col min="6665" max="6665" width="9.109375" style="197" customWidth="1"/>
    <col min="6666" max="6666" width="8.33203125" style="197" customWidth="1"/>
    <col min="6667" max="6912" width="8.88671875" style="197" customWidth="1"/>
    <col min="6913" max="6913" width="8" style="197" customWidth="1"/>
    <col min="6914" max="6914" width="17.44140625" style="197" customWidth="1"/>
    <col min="6915" max="6915" width="38.44140625" style="197" customWidth="1"/>
    <col min="6916" max="6916" width="5.44140625" style="197" customWidth="1"/>
    <col min="6917" max="6917" width="8.88671875" style="197" customWidth="1"/>
    <col min="6918" max="6918" width="10" style="197" customWidth="1"/>
    <col min="6919" max="6920" width="8.88671875" style="197" customWidth="1"/>
    <col min="6921" max="6921" width="9.109375" style="197" customWidth="1"/>
    <col min="6922" max="6922" width="8.33203125" style="197" customWidth="1"/>
    <col min="6923" max="7168" width="8.88671875" style="197" customWidth="1"/>
    <col min="7169" max="7169" width="8" style="197" customWidth="1"/>
    <col min="7170" max="7170" width="17.44140625" style="197" customWidth="1"/>
    <col min="7171" max="7171" width="38.44140625" style="197" customWidth="1"/>
    <col min="7172" max="7172" width="5.44140625" style="197" customWidth="1"/>
    <col min="7173" max="7173" width="8.88671875" style="197" customWidth="1"/>
    <col min="7174" max="7174" width="10" style="197" customWidth="1"/>
    <col min="7175" max="7176" width="8.88671875" style="197" customWidth="1"/>
    <col min="7177" max="7177" width="9.109375" style="197" customWidth="1"/>
    <col min="7178" max="7178" width="8.33203125" style="197" customWidth="1"/>
    <col min="7179" max="7424" width="8.88671875" style="197" customWidth="1"/>
    <col min="7425" max="7425" width="8" style="197" customWidth="1"/>
    <col min="7426" max="7426" width="17.44140625" style="197" customWidth="1"/>
    <col min="7427" max="7427" width="38.44140625" style="197" customWidth="1"/>
    <col min="7428" max="7428" width="5.44140625" style="197" customWidth="1"/>
    <col min="7429" max="7429" width="8.88671875" style="197" customWidth="1"/>
    <col min="7430" max="7430" width="10" style="197" customWidth="1"/>
    <col min="7431" max="7432" width="8.88671875" style="197" customWidth="1"/>
    <col min="7433" max="7433" width="9.109375" style="197" customWidth="1"/>
    <col min="7434" max="7434" width="8.33203125" style="197" customWidth="1"/>
    <col min="7435" max="7680" width="8.88671875" style="197" customWidth="1"/>
    <col min="7681" max="7681" width="8" style="197" customWidth="1"/>
    <col min="7682" max="7682" width="17.44140625" style="197" customWidth="1"/>
    <col min="7683" max="7683" width="38.44140625" style="197" customWidth="1"/>
    <col min="7684" max="7684" width="5.44140625" style="197" customWidth="1"/>
    <col min="7685" max="7685" width="8.88671875" style="197" customWidth="1"/>
    <col min="7686" max="7686" width="10" style="197" customWidth="1"/>
    <col min="7687" max="7688" width="8.88671875" style="197" customWidth="1"/>
    <col min="7689" max="7689" width="9.109375" style="197" customWidth="1"/>
    <col min="7690" max="7690" width="8.33203125" style="197" customWidth="1"/>
    <col min="7691" max="7936" width="8.88671875" style="197" customWidth="1"/>
    <col min="7937" max="7937" width="8" style="197" customWidth="1"/>
    <col min="7938" max="7938" width="17.44140625" style="197" customWidth="1"/>
    <col min="7939" max="7939" width="38.44140625" style="197" customWidth="1"/>
    <col min="7940" max="7940" width="5.44140625" style="197" customWidth="1"/>
    <col min="7941" max="7941" width="8.88671875" style="197" customWidth="1"/>
    <col min="7942" max="7942" width="10" style="197" customWidth="1"/>
    <col min="7943" max="7944" width="8.88671875" style="197" customWidth="1"/>
    <col min="7945" max="7945" width="9.109375" style="197" customWidth="1"/>
    <col min="7946" max="7946" width="8.33203125" style="197" customWidth="1"/>
    <col min="7947" max="8192" width="8.88671875" style="197" customWidth="1"/>
    <col min="8193" max="8193" width="8" style="197" customWidth="1"/>
    <col min="8194" max="8194" width="17.44140625" style="197" customWidth="1"/>
    <col min="8195" max="8195" width="38.44140625" style="197" customWidth="1"/>
    <col min="8196" max="8196" width="5.44140625" style="197" customWidth="1"/>
    <col min="8197" max="8197" width="8.88671875" style="197" customWidth="1"/>
    <col min="8198" max="8198" width="10" style="197" customWidth="1"/>
    <col min="8199" max="8200" width="8.88671875" style="197" customWidth="1"/>
    <col min="8201" max="8201" width="9.109375" style="197" customWidth="1"/>
    <col min="8202" max="8202" width="8.33203125" style="197" customWidth="1"/>
    <col min="8203" max="8448" width="8.88671875" style="197" customWidth="1"/>
    <col min="8449" max="8449" width="8" style="197" customWidth="1"/>
    <col min="8450" max="8450" width="17.44140625" style="197" customWidth="1"/>
    <col min="8451" max="8451" width="38.44140625" style="197" customWidth="1"/>
    <col min="8452" max="8452" width="5.44140625" style="197" customWidth="1"/>
    <col min="8453" max="8453" width="8.88671875" style="197" customWidth="1"/>
    <col min="8454" max="8454" width="10" style="197" customWidth="1"/>
    <col min="8455" max="8456" width="8.88671875" style="197" customWidth="1"/>
    <col min="8457" max="8457" width="9.109375" style="197" customWidth="1"/>
    <col min="8458" max="8458" width="8.33203125" style="197" customWidth="1"/>
    <col min="8459" max="8704" width="8.88671875" style="197" customWidth="1"/>
    <col min="8705" max="8705" width="8" style="197" customWidth="1"/>
    <col min="8706" max="8706" width="17.44140625" style="197" customWidth="1"/>
    <col min="8707" max="8707" width="38.44140625" style="197" customWidth="1"/>
    <col min="8708" max="8708" width="5.44140625" style="197" customWidth="1"/>
    <col min="8709" max="8709" width="8.88671875" style="197" customWidth="1"/>
    <col min="8710" max="8710" width="10" style="197" customWidth="1"/>
    <col min="8711" max="8712" width="8.88671875" style="197" customWidth="1"/>
    <col min="8713" max="8713" width="9.109375" style="197" customWidth="1"/>
    <col min="8714" max="8714" width="8.33203125" style="197" customWidth="1"/>
    <col min="8715" max="8960" width="8.88671875" style="197" customWidth="1"/>
    <col min="8961" max="8961" width="8" style="197" customWidth="1"/>
    <col min="8962" max="8962" width="17.44140625" style="197" customWidth="1"/>
    <col min="8963" max="8963" width="38.44140625" style="197" customWidth="1"/>
    <col min="8964" max="8964" width="5.44140625" style="197" customWidth="1"/>
    <col min="8965" max="8965" width="8.88671875" style="197" customWidth="1"/>
    <col min="8966" max="8966" width="10" style="197" customWidth="1"/>
    <col min="8967" max="8968" width="8.88671875" style="197" customWidth="1"/>
    <col min="8969" max="8969" width="9.109375" style="197" customWidth="1"/>
    <col min="8970" max="8970" width="8.33203125" style="197" customWidth="1"/>
    <col min="8971" max="9216" width="8.88671875" style="197" customWidth="1"/>
    <col min="9217" max="9217" width="8" style="197" customWidth="1"/>
    <col min="9218" max="9218" width="17.44140625" style="197" customWidth="1"/>
    <col min="9219" max="9219" width="38.44140625" style="197" customWidth="1"/>
    <col min="9220" max="9220" width="5.44140625" style="197" customWidth="1"/>
    <col min="9221" max="9221" width="8.88671875" style="197" customWidth="1"/>
    <col min="9222" max="9222" width="10" style="197" customWidth="1"/>
    <col min="9223" max="9224" width="8.88671875" style="197" customWidth="1"/>
    <col min="9225" max="9225" width="9.109375" style="197" customWidth="1"/>
    <col min="9226" max="9226" width="8.33203125" style="197" customWidth="1"/>
    <col min="9227" max="9472" width="8.88671875" style="197" customWidth="1"/>
    <col min="9473" max="9473" width="8" style="197" customWidth="1"/>
    <col min="9474" max="9474" width="17.44140625" style="197" customWidth="1"/>
    <col min="9475" max="9475" width="38.44140625" style="197" customWidth="1"/>
    <col min="9476" max="9476" width="5.44140625" style="197" customWidth="1"/>
    <col min="9477" max="9477" width="8.88671875" style="197" customWidth="1"/>
    <col min="9478" max="9478" width="10" style="197" customWidth="1"/>
    <col min="9479" max="9480" width="8.88671875" style="197" customWidth="1"/>
    <col min="9481" max="9481" width="9.109375" style="197" customWidth="1"/>
    <col min="9482" max="9482" width="8.33203125" style="197" customWidth="1"/>
    <col min="9483" max="9728" width="8.88671875" style="197" customWidth="1"/>
    <col min="9729" max="9729" width="8" style="197" customWidth="1"/>
    <col min="9730" max="9730" width="17.44140625" style="197" customWidth="1"/>
    <col min="9731" max="9731" width="38.44140625" style="197" customWidth="1"/>
    <col min="9732" max="9732" width="5.44140625" style="197" customWidth="1"/>
    <col min="9733" max="9733" width="8.88671875" style="197" customWidth="1"/>
    <col min="9734" max="9734" width="10" style="197" customWidth="1"/>
    <col min="9735" max="9736" width="8.88671875" style="197" customWidth="1"/>
    <col min="9737" max="9737" width="9.109375" style="197" customWidth="1"/>
    <col min="9738" max="9738" width="8.33203125" style="197" customWidth="1"/>
    <col min="9739" max="9984" width="8.88671875" style="197" customWidth="1"/>
    <col min="9985" max="9985" width="8" style="197" customWidth="1"/>
    <col min="9986" max="9986" width="17.44140625" style="197" customWidth="1"/>
    <col min="9987" max="9987" width="38.44140625" style="197" customWidth="1"/>
    <col min="9988" max="9988" width="5.44140625" style="197" customWidth="1"/>
    <col min="9989" max="9989" width="8.88671875" style="197" customWidth="1"/>
    <col min="9990" max="9990" width="10" style="197" customWidth="1"/>
    <col min="9991" max="9992" width="8.88671875" style="197" customWidth="1"/>
    <col min="9993" max="9993" width="9.109375" style="197" customWidth="1"/>
    <col min="9994" max="9994" width="8.33203125" style="197" customWidth="1"/>
    <col min="9995" max="10240" width="8.88671875" style="197" customWidth="1"/>
    <col min="10241" max="10241" width="8" style="197" customWidth="1"/>
    <col min="10242" max="10242" width="17.44140625" style="197" customWidth="1"/>
    <col min="10243" max="10243" width="38.44140625" style="197" customWidth="1"/>
    <col min="10244" max="10244" width="5.44140625" style="197" customWidth="1"/>
    <col min="10245" max="10245" width="8.88671875" style="197" customWidth="1"/>
    <col min="10246" max="10246" width="10" style="197" customWidth="1"/>
    <col min="10247" max="10248" width="8.88671875" style="197" customWidth="1"/>
    <col min="10249" max="10249" width="9.109375" style="197" customWidth="1"/>
    <col min="10250" max="10250" width="8.33203125" style="197" customWidth="1"/>
    <col min="10251" max="10496" width="8.88671875" style="197" customWidth="1"/>
    <col min="10497" max="10497" width="8" style="197" customWidth="1"/>
    <col min="10498" max="10498" width="17.44140625" style="197" customWidth="1"/>
    <col min="10499" max="10499" width="38.44140625" style="197" customWidth="1"/>
    <col min="10500" max="10500" width="5.44140625" style="197" customWidth="1"/>
    <col min="10501" max="10501" width="8.88671875" style="197" customWidth="1"/>
    <col min="10502" max="10502" width="10" style="197" customWidth="1"/>
    <col min="10503" max="10504" width="8.88671875" style="197" customWidth="1"/>
    <col min="10505" max="10505" width="9.109375" style="197" customWidth="1"/>
    <col min="10506" max="10506" width="8.33203125" style="197" customWidth="1"/>
    <col min="10507" max="10752" width="8.88671875" style="197" customWidth="1"/>
    <col min="10753" max="10753" width="8" style="197" customWidth="1"/>
    <col min="10754" max="10754" width="17.44140625" style="197" customWidth="1"/>
    <col min="10755" max="10755" width="38.44140625" style="197" customWidth="1"/>
    <col min="10756" max="10756" width="5.44140625" style="197" customWidth="1"/>
    <col min="10757" max="10757" width="8.88671875" style="197" customWidth="1"/>
    <col min="10758" max="10758" width="10" style="197" customWidth="1"/>
    <col min="10759" max="10760" width="8.88671875" style="197" customWidth="1"/>
    <col min="10761" max="10761" width="9.109375" style="197" customWidth="1"/>
    <col min="10762" max="10762" width="8.33203125" style="197" customWidth="1"/>
    <col min="10763" max="11008" width="8.88671875" style="197" customWidth="1"/>
    <col min="11009" max="11009" width="8" style="197" customWidth="1"/>
    <col min="11010" max="11010" width="17.44140625" style="197" customWidth="1"/>
    <col min="11011" max="11011" width="38.44140625" style="197" customWidth="1"/>
    <col min="11012" max="11012" width="5.44140625" style="197" customWidth="1"/>
    <col min="11013" max="11013" width="8.88671875" style="197" customWidth="1"/>
    <col min="11014" max="11014" width="10" style="197" customWidth="1"/>
    <col min="11015" max="11016" width="8.88671875" style="197" customWidth="1"/>
    <col min="11017" max="11017" width="9.109375" style="197" customWidth="1"/>
    <col min="11018" max="11018" width="8.33203125" style="197" customWidth="1"/>
    <col min="11019" max="11264" width="8.88671875" style="197" customWidth="1"/>
    <col min="11265" max="11265" width="8" style="197" customWidth="1"/>
    <col min="11266" max="11266" width="17.44140625" style="197" customWidth="1"/>
    <col min="11267" max="11267" width="38.44140625" style="197" customWidth="1"/>
    <col min="11268" max="11268" width="5.44140625" style="197" customWidth="1"/>
    <col min="11269" max="11269" width="8.88671875" style="197" customWidth="1"/>
    <col min="11270" max="11270" width="10" style="197" customWidth="1"/>
    <col min="11271" max="11272" width="8.88671875" style="197" customWidth="1"/>
    <col min="11273" max="11273" width="9.109375" style="197" customWidth="1"/>
    <col min="11274" max="11274" width="8.33203125" style="197" customWidth="1"/>
    <col min="11275" max="11520" width="8.88671875" style="197" customWidth="1"/>
    <col min="11521" max="11521" width="8" style="197" customWidth="1"/>
    <col min="11522" max="11522" width="17.44140625" style="197" customWidth="1"/>
    <col min="11523" max="11523" width="38.44140625" style="197" customWidth="1"/>
    <col min="11524" max="11524" width="5.44140625" style="197" customWidth="1"/>
    <col min="11525" max="11525" width="8.88671875" style="197" customWidth="1"/>
    <col min="11526" max="11526" width="10" style="197" customWidth="1"/>
    <col min="11527" max="11528" width="8.88671875" style="197" customWidth="1"/>
    <col min="11529" max="11529" width="9.109375" style="197" customWidth="1"/>
    <col min="11530" max="11530" width="8.33203125" style="197" customWidth="1"/>
    <col min="11531" max="11776" width="8.88671875" style="197" customWidth="1"/>
    <col min="11777" max="11777" width="8" style="197" customWidth="1"/>
    <col min="11778" max="11778" width="17.44140625" style="197" customWidth="1"/>
    <col min="11779" max="11779" width="38.44140625" style="197" customWidth="1"/>
    <col min="11780" max="11780" width="5.44140625" style="197" customWidth="1"/>
    <col min="11781" max="11781" width="8.88671875" style="197" customWidth="1"/>
    <col min="11782" max="11782" width="10" style="197" customWidth="1"/>
    <col min="11783" max="11784" width="8.88671875" style="197" customWidth="1"/>
    <col min="11785" max="11785" width="9.109375" style="197" customWidth="1"/>
    <col min="11786" max="11786" width="8.33203125" style="197" customWidth="1"/>
    <col min="11787" max="12032" width="8.88671875" style="197" customWidth="1"/>
    <col min="12033" max="12033" width="8" style="197" customWidth="1"/>
    <col min="12034" max="12034" width="17.44140625" style="197" customWidth="1"/>
    <col min="12035" max="12035" width="38.44140625" style="197" customWidth="1"/>
    <col min="12036" max="12036" width="5.44140625" style="197" customWidth="1"/>
    <col min="12037" max="12037" width="8.88671875" style="197" customWidth="1"/>
    <col min="12038" max="12038" width="10" style="197" customWidth="1"/>
    <col min="12039" max="12040" width="8.88671875" style="197" customWidth="1"/>
    <col min="12041" max="12041" width="9.109375" style="197" customWidth="1"/>
    <col min="12042" max="12042" width="8.33203125" style="197" customWidth="1"/>
    <col min="12043" max="12288" width="8.88671875" style="197" customWidth="1"/>
    <col min="12289" max="12289" width="8" style="197" customWidth="1"/>
    <col min="12290" max="12290" width="17.44140625" style="197" customWidth="1"/>
    <col min="12291" max="12291" width="38.44140625" style="197" customWidth="1"/>
    <col min="12292" max="12292" width="5.44140625" style="197" customWidth="1"/>
    <col min="12293" max="12293" width="8.88671875" style="197" customWidth="1"/>
    <col min="12294" max="12294" width="10" style="197" customWidth="1"/>
    <col min="12295" max="12296" width="8.88671875" style="197" customWidth="1"/>
    <col min="12297" max="12297" width="9.109375" style="197" customWidth="1"/>
    <col min="12298" max="12298" width="8.33203125" style="197" customWidth="1"/>
    <col min="12299" max="12544" width="8.88671875" style="197" customWidth="1"/>
    <col min="12545" max="12545" width="8" style="197" customWidth="1"/>
    <col min="12546" max="12546" width="17.44140625" style="197" customWidth="1"/>
    <col min="12547" max="12547" width="38.44140625" style="197" customWidth="1"/>
    <col min="12548" max="12548" width="5.44140625" style="197" customWidth="1"/>
    <col min="12549" max="12549" width="8.88671875" style="197" customWidth="1"/>
    <col min="12550" max="12550" width="10" style="197" customWidth="1"/>
    <col min="12551" max="12552" width="8.88671875" style="197" customWidth="1"/>
    <col min="12553" max="12553" width="9.109375" style="197" customWidth="1"/>
    <col min="12554" max="12554" width="8.33203125" style="197" customWidth="1"/>
    <col min="12555" max="12800" width="8.88671875" style="197" customWidth="1"/>
    <col min="12801" max="12801" width="8" style="197" customWidth="1"/>
    <col min="12802" max="12802" width="17.44140625" style="197" customWidth="1"/>
    <col min="12803" max="12803" width="38.44140625" style="197" customWidth="1"/>
    <col min="12804" max="12804" width="5.44140625" style="197" customWidth="1"/>
    <col min="12805" max="12805" width="8.88671875" style="197" customWidth="1"/>
    <col min="12806" max="12806" width="10" style="197" customWidth="1"/>
    <col min="12807" max="12808" width="8.88671875" style="197" customWidth="1"/>
    <col min="12809" max="12809" width="9.109375" style="197" customWidth="1"/>
    <col min="12810" max="12810" width="8.33203125" style="197" customWidth="1"/>
    <col min="12811" max="13056" width="8.88671875" style="197" customWidth="1"/>
    <col min="13057" max="13057" width="8" style="197" customWidth="1"/>
    <col min="13058" max="13058" width="17.44140625" style="197" customWidth="1"/>
    <col min="13059" max="13059" width="38.44140625" style="197" customWidth="1"/>
    <col min="13060" max="13060" width="5.44140625" style="197" customWidth="1"/>
    <col min="13061" max="13061" width="8.88671875" style="197" customWidth="1"/>
    <col min="13062" max="13062" width="10" style="197" customWidth="1"/>
    <col min="13063" max="13064" width="8.88671875" style="197" customWidth="1"/>
    <col min="13065" max="13065" width="9.109375" style="197" customWidth="1"/>
    <col min="13066" max="13066" width="8.33203125" style="197" customWidth="1"/>
    <col min="13067" max="13312" width="8.88671875" style="197" customWidth="1"/>
    <col min="13313" max="13313" width="8" style="197" customWidth="1"/>
    <col min="13314" max="13314" width="17.44140625" style="197" customWidth="1"/>
    <col min="13315" max="13315" width="38.44140625" style="197" customWidth="1"/>
    <col min="13316" max="13316" width="5.44140625" style="197" customWidth="1"/>
    <col min="13317" max="13317" width="8.88671875" style="197" customWidth="1"/>
    <col min="13318" max="13318" width="10" style="197" customWidth="1"/>
    <col min="13319" max="13320" width="8.88671875" style="197" customWidth="1"/>
    <col min="13321" max="13321" width="9.109375" style="197" customWidth="1"/>
    <col min="13322" max="13322" width="8.33203125" style="197" customWidth="1"/>
    <col min="13323" max="13568" width="8.88671875" style="197" customWidth="1"/>
    <col min="13569" max="13569" width="8" style="197" customWidth="1"/>
    <col min="13570" max="13570" width="17.44140625" style="197" customWidth="1"/>
    <col min="13571" max="13571" width="38.44140625" style="197" customWidth="1"/>
    <col min="13572" max="13572" width="5.44140625" style="197" customWidth="1"/>
    <col min="13573" max="13573" width="8.88671875" style="197" customWidth="1"/>
    <col min="13574" max="13574" width="10" style="197" customWidth="1"/>
    <col min="13575" max="13576" width="8.88671875" style="197" customWidth="1"/>
    <col min="13577" max="13577" width="9.109375" style="197" customWidth="1"/>
    <col min="13578" max="13578" width="8.33203125" style="197" customWidth="1"/>
    <col min="13579" max="13824" width="8.88671875" style="197" customWidth="1"/>
    <col min="13825" max="13825" width="8" style="197" customWidth="1"/>
    <col min="13826" max="13826" width="17.44140625" style="197" customWidth="1"/>
    <col min="13827" max="13827" width="38.44140625" style="197" customWidth="1"/>
    <col min="13828" max="13828" width="5.44140625" style="197" customWidth="1"/>
    <col min="13829" max="13829" width="8.88671875" style="197" customWidth="1"/>
    <col min="13830" max="13830" width="10" style="197" customWidth="1"/>
    <col min="13831" max="13832" width="8.88671875" style="197" customWidth="1"/>
    <col min="13833" max="13833" width="9.109375" style="197" customWidth="1"/>
    <col min="13834" max="13834" width="8.33203125" style="197" customWidth="1"/>
    <col min="13835" max="14080" width="8.88671875" style="197" customWidth="1"/>
    <col min="14081" max="14081" width="8" style="197" customWidth="1"/>
    <col min="14082" max="14082" width="17.44140625" style="197" customWidth="1"/>
    <col min="14083" max="14083" width="38.44140625" style="197" customWidth="1"/>
    <col min="14084" max="14084" width="5.44140625" style="197" customWidth="1"/>
    <col min="14085" max="14085" width="8.88671875" style="197" customWidth="1"/>
    <col min="14086" max="14086" width="10" style="197" customWidth="1"/>
    <col min="14087" max="14088" width="8.88671875" style="197" customWidth="1"/>
    <col min="14089" max="14089" width="9.109375" style="197" customWidth="1"/>
    <col min="14090" max="14090" width="8.33203125" style="197" customWidth="1"/>
    <col min="14091" max="14336" width="8.88671875" style="197" customWidth="1"/>
    <col min="14337" max="14337" width="8" style="197" customWidth="1"/>
    <col min="14338" max="14338" width="17.44140625" style="197" customWidth="1"/>
    <col min="14339" max="14339" width="38.44140625" style="197" customWidth="1"/>
    <col min="14340" max="14340" width="5.44140625" style="197" customWidth="1"/>
    <col min="14341" max="14341" width="8.88671875" style="197" customWidth="1"/>
    <col min="14342" max="14342" width="10" style="197" customWidth="1"/>
    <col min="14343" max="14344" width="8.88671875" style="197" customWidth="1"/>
    <col min="14345" max="14345" width="9.109375" style="197" customWidth="1"/>
    <col min="14346" max="14346" width="8.33203125" style="197" customWidth="1"/>
    <col min="14347" max="14592" width="8.88671875" style="197" customWidth="1"/>
    <col min="14593" max="14593" width="8" style="197" customWidth="1"/>
    <col min="14594" max="14594" width="17.44140625" style="197" customWidth="1"/>
    <col min="14595" max="14595" width="38.44140625" style="197" customWidth="1"/>
    <col min="14596" max="14596" width="5.44140625" style="197" customWidth="1"/>
    <col min="14597" max="14597" width="8.88671875" style="197" customWidth="1"/>
    <col min="14598" max="14598" width="10" style="197" customWidth="1"/>
    <col min="14599" max="14600" width="8.88671875" style="197" customWidth="1"/>
    <col min="14601" max="14601" width="9.109375" style="197" customWidth="1"/>
    <col min="14602" max="14602" width="8.33203125" style="197" customWidth="1"/>
    <col min="14603" max="14848" width="8.88671875" style="197" customWidth="1"/>
    <col min="14849" max="14849" width="8" style="197" customWidth="1"/>
    <col min="14850" max="14850" width="17.44140625" style="197" customWidth="1"/>
    <col min="14851" max="14851" width="38.44140625" style="197" customWidth="1"/>
    <col min="14852" max="14852" width="5.44140625" style="197" customWidth="1"/>
    <col min="14853" max="14853" width="8.88671875" style="197" customWidth="1"/>
    <col min="14854" max="14854" width="10" style="197" customWidth="1"/>
    <col min="14855" max="14856" width="8.88671875" style="197" customWidth="1"/>
    <col min="14857" max="14857" width="9.109375" style="197" customWidth="1"/>
    <col min="14858" max="14858" width="8.33203125" style="197" customWidth="1"/>
    <col min="14859" max="15104" width="8.88671875" style="197" customWidth="1"/>
    <col min="15105" max="15105" width="8" style="197" customWidth="1"/>
    <col min="15106" max="15106" width="17.44140625" style="197" customWidth="1"/>
    <col min="15107" max="15107" width="38.44140625" style="197" customWidth="1"/>
    <col min="15108" max="15108" width="5.44140625" style="197" customWidth="1"/>
    <col min="15109" max="15109" width="8.88671875" style="197" customWidth="1"/>
    <col min="15110" max="15110" width="10" style="197" customWidth="1"/>
    <col min="15111" max="15112" width="8.88671875" style="197" customWidth="1"/>
    <col min="15113" max="15113" width="9.109375" style="197" customWidth="1"/>
    <col min="15114" max="15114" width="8.33203125" style="197" customWidth="1"/>
    <col min="15115" max="15360" width="8.88671875" style="197" customWidth="1"/>
    <col min="15361" max="15361" width="8" style="197" customWidth="1"/>
    <col min="15362" max="15362" width="17.44140625" style="197" customWidth="1"/>
    <col min="15363" max="15363" width="38.44140625" style="197" customWidth="1"/>
    <col min="15364" max="15364" width="5.44140625" style="197" customWidth="1"/>
    <col min="15365" max="15365" width="8.88671875" style="197" customWidth="1"/>
    <col min="15366" max="15366" width="10" style="197" customWidth="1"/>
    <col min="15367" max="15368" width="8.88671875" style="197" customWidth="1"/>
    <col min="15369" max="15369" width="9.109375" style="197" customWidth="1"/>
    <col min="15370" max="15370" width="8.33203125" style="197" customWidth="1"/>
    <col min="15371" max="15616" width="8.88671875" style="197" customWidth="1"/>
    <col min="15617" max="15617" width="8" style="197" customWidth="1"/>
    <col min="15618" max="15618" width="17.44140625" style="197" customWidth="1"/>
    <col min="15619" max="15619" width="38.44140625" style="197" customWidth="1"/>
    <col min="15620" max="15620" width="5.44140625" style="197" customWidth="1"/>
    <col min="15621" max="15621" width="8.88671875" style="197" customWidth="1"/>
    <col min="15622" max="15622" width="10" style="197" customWidth="1"/>
    <col min="15623" max="15624" width="8.88671875" style="197" customWidth="1"/>
    <col min="15625" max="15625" width="9.109375" style="197" customWidth="1"/>
    <col min="15626" max="15626" width="8.33203125" style="197" customWidth="1"/>
    <col min="15627" max="15872" width="8.88671875" style="197" customWidth="1"/>
    <col min="15873" max="15873" width="8" style="197" customWidth="1"/>
    <col min="15874" max="15874" width="17.44140625" style="197" customWidth="1"/>
    <col min="15875" max="15875" width="38.44140625" style="197" customWidth="1"/>
    <col min="15876" max="15876" width="5.44140625" style="197" customWidth="1"/>
    <col min="15877" max="15877" width="8.88671875" style="197" customWidth="1"/>
    <col min="15878" max="15878" width="10" style="197" customWidth="1"/>
    <col min="15879" max="15880" width="8.88671875" style="197" customWidth="1"/>
    <col min="15881" max="15881" width="9.109375" style="197" customWidth="1"/>
    <col min="15882" max="15882" width="8.33203125" style="197" customWidth="1"/>
    <col min="15883" max="16128" width="8.88671875" style="197" customWidth="1"/>
    <col min="16129" max="16129" width="8" style="197" customWidth="1"/>
    <col min="16130" max="16130" width="17.44140625" style="197" customWidth="1"/>
    <col min="16131" max="16131" width="38.44140625" style="197" customWidth="1"/>
    <col min="16132" max="16132" width="5.44140625" style="197" customWidth="1"/>
    <col min="16133" max="16133" width="8.88671875" style="197" customWidth="1"/>
    <col min="16134" max="16134" width="10" style="197" customWidth="1"/>
    <col min="16135" max="16136" width="8.88671875" style="197" customWidth="1"/>
    <col min="16137" max="16137" width="9.109375" style="197" customWidth="1"/>
    <col min="16138" max="16138" width="8.33203125" style="197" customWidth="1"/>
    <col min="16139" max="16384" width="8.88671875" style="197" customWidth="1"/>
  </cols>
  <sheetData>
    <row r="1" spans="1:10" x14ac:dyDescent="0.25">
      <c r="A1" s="311"/>
      <c r="B1" s="311"/>
      <c r="C1" s="311"/>
      <c r="D1" s="311"/>
      <c r="E1" s="311"/>
      <c r="F1" s="311"/>
      <c r="G1" s="311"/>
      <c r="H1" s="311"/>
      <c r="I1" s="311"/>
      <c r="J1" s="311"/>
    </row>
    <row r="2" spans="1:10" x14ac:dyDescent="0.25">
      <c r="A2" s="311" t="s">
        <v>505</v>
      </c>
      <c r="B2" s="311" t="s">
        <v>506</v>
      </c>
      <c r="C2" s="312" t="s">
        <v>528</v>
      </c>
      <c r="D2" s="311"/>
      <c r="E2" s="311"/>
      <c r="F2" s="311" t="s">
        <v>507</v>
      </c>
      <c r="G2" s="311" t="s">
        <v>508</v>
      </c>
      <c r="H2" s="311" t="s">
        <v>956</v>
      </c>
      <c r="I2" s="311"/>
      <c r="J2" s="311"/>
    </row>
    <row r="3" spans="1:10" x14ac:dyDescent="0.25">
      <c r="A3" s="311" t="s">
        <v>505</v>
      </c>
      <c r="B3" s="311" t="s">
        <v>509</v>
      </c>
      <c r="C3" s="312" t="s">
        <v>957</v>
      </c>
      <c r="D3" s="311"/>
      <c r="E3" s="311"/>
      <c r="F3" s="311" t="s">
        <v>510</v>
      </c>
      <c r="G3" s="311" t="s">
        <v>511</v>
      </c>
      <c r="H3" s="311" t="s">
        <v>529</v>
      </c>
      <c r="I3" s="311">
        <v>1</v>
      </c>
      <c r="J3" s="311"/>
    </row>
    <row r="4" spans="1:10" x14ac:dyDescent="0.25">
      <c r="A4" s="311"/>
      <c r="B4" s="311"/>
      <c r="C4" s="312"/>
      <c r="D4" s="311"/>
      <c r="E4" s="311"/>
      <c r="F4" s="311"/>
      <c r="G4" s="311"/>
      <c r="H4" s="311"/>
      <c r="I4" s="311"/>
      <c r="J4" s="311"/>
    </row>
    <row r="5" spans="1:10" ht="21" x14ac:dyDescent="0.25">
      <c r="A5" s="311" t="s">
        <v>512</v>
      </c>
      <c r="B5" s="311" t="s">
        <v>513</v>
      </c>
      <c r="C5" s="312" t="s">
        <v>514</v>
      </c>
      <c r="D5" s="311" t="s">
        <v>515</v>
      </c>
      <c r="E5" s="312" t="s">
        <v>516</v>
      </c>
      <c r="F5" s="312" t="s">
        <v>517</v>
      </c>
      <c r="G5" s="312" t="s">
        <v>518</v>
      </c>
      <c r="H5" s="312" t="s">
        <v>519</v>
      </c>
      <c r="I5" s="312" t="s">
        <v>520</v>
      </c>
      <c r="J5" s="312" t="s">
        <v>521</v>
      </c>
    </row>
    <row r="6" spans="1:10" x14ac:dyDescent="0.25">
      <c r="A6" s="311"/>
      <c r="B6" s="311"/>
      <c r="C6" s="312"/>
      <c r="D6" s="311"/>
      <c r="E6" s="311"/>
      <c r="F6" s="311"/>
      <c r="G6" s="311"/>
      <c r="H6" s="311"/>
      <c r="I6" s="311"/>
      <c r="J6" s="311"/>
    </row>
    <row r="7" spans="1:10" x14ac:dyDescent="0.25">
      <c r="A7" s="311" t="s">
        <v>530</v>
      </c>
      <c r="B7" s="311" t="s">
        <v>531</v>
      </c>
      <c r="C7" s="312" t="s">
        <v>532</v>
      </c>
      <c r="D7" s="311"/>
      <c r="E7" s="311"/>
      <c r="F7" s="311"/>
      <c r="G7" s="311"/>
      <c r="H7" s="311"/>
      <c r="I7" s="311"/>
      <c r="J7" s="311"/>
    </row>
    <row r="8" spans="1:10" x14ac:dyDescent="0.25">
      <c r="A8" s="311"/>
      <c r="B8" s="311"/>
      <c r="C8" s="312"/>
      <c r="D8" s="311"/>
      <c r="E8" s="311"/>
      <c r="F8" s="311"/>
      <c r="G8" s="311"/>
      <c r="H8" s="311"/>
      <c r="I8" s="311"/>
      <c r="J8" s="311"/>
    </row>
    <row r="9" spans="1:10" x14ac:dyDescent="0.25">
      <c r="A9" s="311"/>
      <c r="B9" s="311" t="s">
        <v>533</v>
      </c>
      <c r="C9" s="312" t="s">
        <v>534</v>
      </c>
      <c r="D9" s="311"/>
      <c r="E9" s="311"/>
      <c r="F9" s="311"/>
      <c r="G9" s="311"/>
      <c r="H9" s="311"/>
      <c r="I9" s="311"/>
      <c r="J9" s="311"/>
    </row>
    <row r="10" spans="1:10" x14ac:dyDescent="0.25">
      <c r="A10" s="311">
        <v>1</v>
      </c>
      <c r="B10" s="311" t="s">
        <v>535</v>
      </c>
      <c r="C10" s="312" t="s">
        <v>536</v>
      </c>
      <c r="D10" s="311" t="s">
        <v>537</v>
      </c>
      <c r="E10" s="313">
        <v>6</v>
      </c>
      <c r="F10" s="310"/>
      <c r="G10" s="313">
        <f>E10*F10</f>
        <v>0</v>
      </c>
      <c r="H10" s="313"/>
      <c r="I10" s="313"/>
      <c r="J10" s="313"/>
    </row>
    <row r="11" spans="1:10" ht="21" x14ac:dyDescent="0.25">
      <c r="A11" s="311">
        <v>2</v>
      </c>
      <c r="B11" s="311" t="s">
        <v>538</v>
      </c>
      <c r="C11" s="312" t="s">
        <v>958</v>
      </c>
      <c r="D11" s="311" t="s">
        <v>537</v>
      </c>
      <c r="E11" s="313">
        <v>6</v>
      </c>
      <c r="F11" s="310"/>
      <c r="G11" s="313">
        <f t="shared" ref="G11:G25" si="0">E11*F11</f>
        <v>0</v>
      </c>
      <c r="H11" s="313"/>
      <c r="I11" s="313"/>
      <c r="J11" s="313"/>
    </row>
    <row r="12" spans="1:10" ht="51.6" customHeight="1" x14ac:dyDescent="0.25">
      <c r="A12" s="311">
        <v>3</v>
      </c>
      <c r="B12" s="311" t="s">
        <v>539</v>
      </c>
      <c r="C12" s="312" t="s">
        <v>959</v>
      </c>
      <c r="D12" s="311" t="s">
        <v>537</v>
      </c>
      <c r="E12" s="313">
        <v>16</v>
      </c>
      <c r="F12" s="310"/>
      <c r="G12" s="313">
        <f t="shared" si="0"/>
        <v>0</v>
      </c>
      <c r="H12" s="313"/>
      <c r="I12" s="313">
        <v>0.1</v>
      </c>
      <c r="J12" s="313">
        <v>1.6</v>
      </c>
    </row>
    <row r="13" spans="1:10" x14ac:dyDescent="0.25">
      <c r="A13" s="311">
        <v>4</v>
      </c>
      <c r="B13" s="311" t="s">
        <v>540</v>
      </c>
      <c r="C13" s="312" t="s">
        <v>541</v>
      </c>
      <c r="D13" s="311" t="s">
        <v>542</v>
      </c>
      <c r="E13" s="313">
        <v>6</v>
      </c>
      <c r="F13" s="310"/>
      <c r="G13" s="313">
        <f t="shared" si="0"/>
        <v>0</v>
      </c>
      <c r="H13" s="313"/>
      <c r="I13" s="313">
        <v>1E-3</v>
      </c>
      <c r="J13" s="313">
        <v>6.0000000000000001E-3</v>
      </c>
    </row>
    <row r="14" spans="1:10" x14ac:dyDescent="0.25">
      <c r="A14" s="311">
        <v>5</v>
      </c>
      <c r="B14" s="311" t="s">
        <v>543</v>
      </c>
      <c r="C14" s="312" t="s">
        <v>960</v>
      </c>
      <c r="D14" s="311" t="s">
        <v>544</v>
      </c>
      <c r="E14" s="313">
        <v>10</v>
      </c>
      <c r="F14" s="310"/>
      <c r="G14" s="313">
        <f t="shared" si="0"/>
        <v>0</v>
      </c>
      <c r="H14" s="313"/>
      <c r="I14" s="313">
        <v>1E-3</v>
      </c>
      <c r="J14" s="313">
        <v>0.01</v>
      </c>
    </row>
    <row r="15" spans="1:10" ht="21" x14ac:dyDescent="0.25">
      <c r="A15" s="311">
        <v>6</v>
      </c>
      <c r="B15" s="311" t="s">
        <v>545</v>
      </c>
      <c r="C15" s="312" t="s">
        <v>961</v>
      </c>
      <c r="D15" s="311" t="s">
        <v>524</v>
      </c>
      <c r="E15" s="313">
        <v>1</v>
      </c>
      <c r="F15" s="310"/>
      <c r="G15" s="313">
        <f t="shared" si="0"/>
        <v>0</v>
      </c>
      <c r="H15" s="313"/>
      <c r="I15" s="313">
        <v>2E-3</v>
      </c>
      <c r="J15" s="313">
        <v>2E-3</v>
      </c>
    </row>
    <row r="16" spans="1:10" x14ac:dyDescent="0.25">
      <c r="A16" s="311">
        <v>7</v>
      </c>
      <c r="B16" s="311" t="s">
        <v>546</v>
      </c>
      <c r="C16" s="312" t="s">
        <v>547</v>
      </c>
      <c r="D16" s="311" t="s">
        <v>282</v>
      </c>
      <c r="E16" s="313">
        <v>45</v>
      </c>
      <c r="F16" s="310"/>
      <c r="G16" s="313">
        <f t="shared" si="0"/>
        <v>0</v>
      </c>
      <c r="H16" s="313"/>
      <c r="I16" s="313">
        <v>1E-3</v>
      </c>
      <c r="J16" s="313">
        <v>0.06</v>
      </c>
    </row>
    <row r="17" spans="1:10" x14ac:dyDescent="0.25">
      <c r="A17" s="311">
        <v>8</v>
      </c>
      <c r="B17" s="311" t="s">
        <v>548</v>
      </c>
      <c r="C17" s="312" t="s">
        <v>962</v>
      </c>
      <c r="D17" s="311" t="s">
        <v>963</v>
      </c>
      <c r="E17" s="313">
        <v>1</v>
      </c>
      <c r="F17" s="310"/>
      <c r="G17" s="313">
        <f t="shared" si="0"/>
        <v>0</v>
      </c>
      <c r="H17" s="313"/>
      <c r="I17" s="313">
        <v>2E-3</v>
      </c>
      <c r="J17" s="313">
        <v>0.128</v>
      </c>
    </row>
    <row r="18" spans="1:10" x14ac:dyDescent="0.25">
      <c r="A18" s="311">
        <v>9</v>
      </c>
      <c r="B18" s="311" t="s">
        <v>549</v>
      </c>
      <c r="C18" s="312" t="s">
        <v>964</v>
      </c>
      <c r="D18" s="311" t="s">
        <v>524</v>
      </c>
      <c r="E18" s="313">
        <v>6</v>
      </c>
      <c r="F18" s="310"/>
      <c r="G18" s="313">
        <f t="shared" si="0"/>
        <v>0</v>
      </c>
      <c r="H18" s="313"/>
      <c r="I18" s="313">
        <v>1E-3</v>
      </c>
      <c r="J18" s="313">
        <v>0.06</v>
      </c>
    </row>
    <row r="19" spans="1:10" x14ac:dyDescent="0.25">
      <c r="A19" s="311">
        <v>10</v>
      </c>
      <c r="B19" s="311" t="s">
        <v>550</v>
      </c>
      <c r="C19" s="312" t="s">
        <v>965</v>
      </c>
      <c r="D19" s="311" t="s">
        <v>524</v>
      </c>
      <c r="E19" s="313">
        <v>1</v>
      </c>
      <c r="F19" s="310"/>
      <c r="G19" s="313">
        <f t="shared" si="0"/>
        <v>0</v>
      </c>
      <c r="H19" s="313"/>
      <c r="I19" s="313">
        <v>5.0000000000000001E-3</v>
      </c>
      <c r="J19" s="313">
        <v>0.04</v>
      </c>
    </row>
    <row r="20" spans="1:10" x14ac:dyDescent="0.25">
      <c r="A20" s="311">
        <v>11</v>
      </c>
      <c r="B20" s="311" t="s">
        <v>551</v>
      </c>
      <c r="C20" s="312" t="s">
        <v>966</v>
      </c>
      <c r="D20" s="311" t="s">
        <v>524</v>
      </c>
      <c r="E20" s="313">
        <v>1.1000000000000001</v>
      </c>
      <c r="F20" s="310"/>
      <c r="G20" s="313">
        <f t="shared" si="0"/>
        <v>0</v>
      </c>
      <c r="H20" s="313"/>
      <c r="I20" s="313">
        <v>1E-3</v>
      </c>
      <c r="J20" s="313">
        <v>4.0000000000000001E-3</v>
      </c>
    </row>
    <row r="21" spans="1:10" x14ac:dyDescent="0.25">
      <c r="A21" s="311">
        <v>12</v>
      </c>
      <c r="B21" s="311" t="s">
        <v>552</v>
      </c>
      <c r="C21" s="312" t="s">
        <v>553</v>
      </c>
      <c r="D21" s="311" t="s">
        <v>282</v>
      </c>
      <c r="E21" s="313">
        <v>10</v>
      </c>
      <c r="F21" s="310"/>
      <c r="G21" s="313">
        <f t="shared" si="0"/>
        <v>0</v>
      </c>
      <c r="H21" s="313"/>
      <c r="I21" s="313">
        <v>1E-3</v>
      </c>
      <c r="J21" s="313">
        <v>1.7999999999999999E-2</v>
      </c>
    </row>
    <row r="22" spans="1:10" ht="21" x14ac:dyDescent="0.25">
      <c r="A22" s="311">
        <v>13</v>
      </c>
      <c r="B22" s="311" t="s">
        <v>554</v>
      </c>
      <c r="C22" s="312" t="s">
        <v>967</v>
      </c>
      <c r="D22" s="311" t="s">
        <v>282</v>
      </c>
      <c r="E22" s="313">
        <v>8</v>
      </c>
      <c r="F22" s="310"/>
      <c r="G22" s="313">
        <f t="shared" si="0"/>
        <v>0</v>
      </c>
      <c r="H22" s="313"/>
      <c r="I22" s="313">
        <v>1E-3</v>
      </c>
      <c r="J22" s="313">
        <v>5.0000000000000001E-3</v>
      </c>
    </row>
    <row r="23" spans="1:10" ht="21.6" customHeight="1" x14ac:dyDescent="0.25">
      <c r="A23" s="311">
        <v>14</v>
      </c>
      <c r="B23" s="311" t="s">
        <v>555</v>
      </c>
      <c r="C23" s="312" t="s">
        <v>968</v>
      </c>
      <c r="D23" s="311" t="s">
        <v>542</v>
      </c>
      <c r="E23" s="313">
        <v>3</v>
      </c>
      <c r="F23" s="310"/>
      <c r="G23" s="313">
        <f t="shared" si="0"/>
        <v>0</v>
      </c>
      <c r="H23" s="313"/>
      <c r="I23" s="313">
        <v>5.0000000000000001E-4</v>
      </c>
      <c r="J23" s="313">
        <v>6.0000000000000001E-3</v>
      </c>
    </row>
    <row r="24" spans="1:10" ht="21" x14ac:dyDescent="0.25">
      <c r="A24" s="311">
        <v>15</v>
      </c>
      <c r="B24" s="311" t="s">
        <v>556</v>
      </c>
      <c r="C24" s="312" t="s">
        <v>969</v>
      </c>
      <c r="D24" s="311" t="s">
        <v>537</v>
      </c>
      <c r="E24" s="313">
        <v>8</v>
      </c>
      <c r="F24" s="310"/>
      <c r="G24" s="313">
        <f t="shared" si="0"/>
        <v>0</v>
      </c>
      <c r="H24" s="313"/>
      <c r="I24" s="313"/>
      <c r="J24" s="313"/>
    </row>
    <row r="25" spans="1:10" x14ac:dyDescent="0.25">
      <c r="A25" s="311">
        <v>16</v>
      </c>
      <c r="B25" s="311" t="s">
        <v>557</v>
      </c>
      <c r="C25" s="312" t="s">
        <v>558</v>
      </c>
      <c r="D25" s="311" t="s">
        <v>526</v>
      </c>
      <c r="E25" s="313">
        <v>1.95</v>
      </c>
      <c r="F25" s="310"/>
      <c r="G25" s="313">
        <f t="shared" si="0"/>
        <v>0</v>
      </c>
      <c r="H25" s="313"/>
      <c r="I25" s="313"/>
      <c r="J25" s="313"/>
    </row>
    <row r="26" spans="1:10" x14ac:dyDescent="0.25">
      <c r="A26" s="314"/>
      <c r="B26" s="314" t="s">
        <v>559</v>
      </c>
      <c r="C26" s="315" t="s">
        <v>560</v>
      </c>
      <c r="D26" s="314"/>
      <c r="E26" s="316"/>
      <c r="F26" s="316"/>
      <c r="G26" s="316">
        <f>SUM(G10:G25)</f>
        <v>0</v>
      </c>
      <c r="H26" s="316"/>
      <c r="I26" s="316"/>
      <c r="J26" s="316"/>
    </row>
    <row r="27" spans="1:10" x14ac:dyDescent="0.25">
      <c r="A27" s="311"/>
      <c r="B27" s="311"/>
      <c r="C27" s="312"/>
      <c r="D27" s="311"/>
      <c r="E27" s="313"/>
      <c r="F27" s="313"/>
      <c r="G27" s="313"/>
      <c r="H27" s="313"/>
      <c r="I27" s="313"/>
      <c r="J27" s="313"/>
    </row>
    <row r="28" spans="1:10" x14ac:dyDescent="0.25">
      <c r="A28" s="311"/>
      <c r="B28" s="311" t="s">
        <v>561</v>
      </c>
      <c r="C28" s="312" t="s">
        <v>562</v>
      </c>
      <c r="D28" s="311"/>
      <c r="E28" s="313"/>
      <c r="F28" s="313"/>
      <c r="G28" s="313"/>
      <c r="H28" s="313"/>
      <c r="I28" s="313"/>
      <c r="J28" s="313"/>
    </row>
    <row r="29" spans="1:10" ht="31.2" x14ac:dyDescent="0.25">
      <c r="A29" s="311">
        <v>17</v>
      </c>
      <c r="B29" s="311" t="s">
        <v>563</v>
      </c>
      <c r="C29" s="312" t="s">
        <v>970</v>
      </c>
      <c r="D29" s="311" t="s">
        <v>522</v>
      </c>
      <c r="E29" s="313">
        <v>3</v>
      </c>
      <c r="F29" s="310"/>
      <c r="G29" s="313">
        <f t="shared" ref="G29:G33" si="1">E29*F29</f>
        <v>0</v>
      </c>
      <c r="H29" s="313"/>
      <c r="I29" s="313">
        <v>1E-3</v>
      </c>
      <c r="J29" s="313">
        <v>1.2E-2</v>
      </c>
    </row>
    <row r="30" spans="1:10" x14ac:dyDescent="0.25">
      <c r="A30" s="311">
        <v>18</v>
      </c>
      <c r="B30" s="311" t="s">
        <v>564</v>
      </c>
      <c r="C30" s="312" t="s">
        <v>565</v>
      </c>
      <c r="D30" s="311" t="s">
        <v>524</v>
      </c>
      <c r="E30" s="313">
        <v>8</v>
      </c>
      <c r="F30" s="310"/>
      <c r="G30" s="313">
        <f t="shared" si="1"/>
        <v>0</v>
      </c>
      <c r="H30" s="313"/>
      <c r="I30" s="313">
        <v>1E-3</v>
      </c>
      <c r="J30" s="313">
        <v>1.2E-2</v>
      </c>
    </row>
    <row r="31" spans="1:10" ht="32.85" customHeight="1" x14ac:dyDescent="0.25">
      <c r="A31" s="311">
        <v>19</v>
      </c>
      <c r="B31" s="311" t="s">
        <v>566</v>
      </c>
      <c r="C31" s="312" t="s">
        <v>971</v>
      </c>
      <c r="D31" s="311" t="s">
        <v>524</v>
      </c>
      <c r="E31" s="313">
        <v>5</v>
      </c>
      <c r="F31" s="310"/>
      <c r="G31" s="313">
        <f t="shared" si="1"/>
        <v>0</v>
      </c>
      <c r="H31" s="313"/>
      <c r="I31" s="313">
        <v>1E-4</v>
      </c>
      <c r="J31" s="313">
        <v>1E-3</v>
      </c>
    </row>
    <row r="32" spans="1:10" x14ac:dyDescent="0.25">
      <c r="A32" s="311">
        <v>20</v>
      </c>
      <c r="B32" s="311" t="s">
        <v>567</v>
      </c>
      <c r="C32" s="312" t="s">
        <v>972</v>
      </c>
      <c r="D32" s="311" t="s">
        <v>524</v>
      </c>
      <c r="E32" s="313">
        <v>8</v>
      </c>
      <c r="F32" s="310"/>
      <c r="G32" s="313">
        <f t="shared" si="1"/>
        <v>0</v>
      </c>
      <c r="H32" s="313"/>
      <c r="I32" s="313">
        <v>1E-3</v>
      </c>
      <c r="J32" s="313">
        <v>2E-3</v>
      </c>
    </row>
    <row r="33" spans="1:10" x14ac:dyDescent="0.25">
      <c r="A33" s="311">
        <v>21</v>
      </c>
      <c r="B33" s="311" t="s">
        <v>568</v>
      </c>
      <c r="C33" s="312" t="s">
        <v>569</v>
      </c>
      <c r="D33" s="311" t="s">
        <v>526</v>
      </c>
      <c r="E33" s="313">
        <v>0.06</v>
      </c>
      <c r="F33" s="310"/>
      <c r="G33" s="313">
        <f t="shared" si="1"/>
        <v>0</v>
      </c>
      <c r="H33" s="313"/>
      <c r="I33" s="313"/>
      <c r="J33" s="313"/>
    </row>
    <row r="34" spans="1:10" x14ac:dyDescent="0.25">
      <c r="A34" s="314"/>
      <c r="B34" s="314" t="s">
        <v>570</v>
      </c>
      <c r="C34" s="315" t="s">
        <v>571</v>
      </c>
      <c r="D34" s="314"/>
      <c r="E34" s="316"/>
      <c r="F34" s="316"/>
      <c r="G34" s="316">
        <f>SUM(G29:G33)</f>
        <v>0</v>
      </c>
      <c r="H34" s="316"/>
      <c r="I34" s="316"/>
      <c r="J34" s="316">
        <v>6.2E-2</v>
      </c>
    </row>
    <row r="35" spans="1:10" x14ac:dyDescent="0.25">
      <c r="A35" s="311"/>
      <c r="B35" s="311"/>
      <c r="C35" s="312"/>
      <c r="D35" s="311"/>
      <c r="E35" s="313"/>
      <c r="F35" s="313"/>
      <c r="G35" s="313"/>
      <c r="H35" s="313"/>
      <c r="I35" s="313"/>
      <c r="J35" s="313"/>
    </row>
    <row r="36" spans="1:10" x14ac:dyDescent="0.25">
      <c r="A36" s="311"/>
      <c r="B36" s="311" t="s">
        <v>572</v>
      </c>
      <c r="C36" s="312" t="s">
        <v>573</v>
      </c>
      <c r="D36" s="311"/>
      <c r="E36" s="313"/>
      <c r="F36" s="313"/>
      <c r="G36" s="313"/>
      <c r="H36" s="313"/>
      <c r="I36" s="313"/>
      <c r="J36" s="313"/>
    </row>
    <row r="37" spans="1:10" x14ac:dyDescent="0.25">
      <c r="A37" s="311">
        <v>22</v>
      </c>
      <c r="B37" s="311" t="s">
        <v>574</v>
      </c>
      <c r="C37" s="312" t="s">
        <v>575</v>
      </c>
      <c r="D37" s="311" t="s">
        <v>524</v>
      </c>
      <c r="E37" s="313">
        <v>3</v>
      </c>
      <c r="F37" s="310"/>
      <c r="G37" s="313">
        <f t="shared" ref="G37:G47" si="2">E37*F37</f>
        <v>0</v>
      </c>
      <c r="H37" s="313"/>
      <c r="I37" s="313">
        <v>5.0000000000000001E-3</v>
      </c>
      <c r="J37" s="313">
        <v>1.4999999999999999E-2</v>
      </c>
    </row>
    <row r="38" spans="1:10" x14ac:dyDescent="0.25">
      <c r="A38" s="311">
        <v>23</v>
      </c>
      <c r="B38" s="311" t="s">
        <v>576</v>
      </c>
      <c r="C38" s="312" t="s">
        <v>973</v>
      </c>
      <c r="D38" s="311" t="s">
        <v>524</v>
      </c>
      <c r="E38" s="313">
        <v>3</v>
      </c>
      <c r="F38" s="310"/>
      <c r="G38" s="313">
        <f t="shared" si="2"/>
        <v>0</v>
      </c>
      <c r="H38" s="313"/>
      <c r="I38" s="313">
        <v>0.08</v>
      </c>
      <c r="J38" s="313">
        <v>0.24</v>
      </c>
    </row>
    <row r="39" spans="1:10" ht="41.4" x14ac:dyDescent="0.25">
      <c r="A39" s="311">
        <v>24</v>
      </c>
      <c r="B39" s="311" t="s">
        <v>577</v>
      </c>
      <c r="C39" s="312" t="s">
        <v>578</v>
      </c>
      <c r="D39" s="311" t="s">
        <v>524</v>
      </c>
      <c r="E39" s="313">
        <v>5</v>
      </c>
      <c r="F39" s="310"/>
      <c r="G39" s="313">
        <f t="shared" si="2"/>
        <v>0</v>
      </c>
      <c r="H39" s="313"/>
      <c r="I39" s="313"/>
      <c r="J39" s="313"/>
    </row>
    <row r="40" spans="1:10" ht="41.4" x14ac:dyDescent="0.25">
      <c r="A40" s="311">
        <v>25</v>
      </c>
      <c r="B40" s="311" t="s">
        <v>579</v>
      </c>
      <c r="C40" s="312" t="s">
        <v>974</v>
      </c>
      <c r="D40" s="311" t="s">
        <v>524</v>
      </c>
      <c r="E40" s="313">
        <v>4</v>
      </c>
      <c r="F40" s="310"/>
      <c r="G40" s="313">
        <f t="shared" si="2"/>
        <v>0</v>
      </c>
      <c r="H40" s="313"/>
      <c r="I40" s="313">
        <v>0.05</v>
      </c>
      <c r="J40" s="313">
        <v>0.05</v>
      </c>
    </row>
    <row r="41" spans="1:10" ht="41.4" x14ac:dyDescent="0.25">
      <c r="A41" s="311">
        <v>26</v>
      </c>
      <c r="B41" s="311" t="s">
        <v>580</v>
      </c>
      <c r="C41" s="312" t="s">
        <v>975</v>
      </c>
      <c r="D41" s="311" t="s">
        <v>524</v>
      </c>
      <c r="E41" s="313">
        <v>1</v>
      </c>
      <c r="F41" s="310"/>
      <c r="G41" s="313">
        <f t="shared" si="2"/>
        <v>0</v>
      </c>
      <c r="H41" s="313"/>
      <c r="I41" s="313">
        <v>0.05</v>
      </c>
      <c r="J41" s="313">
        <v>0.05</v>
      </c>
    </row>
    <row r="42" spans="1:10" ht="31.2" x14ac:dyDescent="0.25">
      <c r="A42" s="311">
        <v>27</v>
      </c>
      <c r="B42" s="311" t="s">
        <v>581</v>
      </c>
      <c r="C42" s="312" t="s">
        <v>976</v>
      </c>
      <c r="D42" s="311" t="s">
        <v>524</v>
      </c>
      <c r="E42" s="313">
        <v>3</v>
      </c>
      <c r="F42" s="310"/>
      <c r="G42" s="313">
        <f t="shared" si="2"/>
        <v>0</v>
      </c>
      <c r="H42" s="313"/>
      <c r="I42" s="313">
        <v>0.03</v>
      </c>
      <c r="J42" s="313">
        <v>0.03</v>
      </c>
    </row>
    <row r="43" spans="1:10" ht="21" x14ac:dyDescent="0.25">
      <c r="A43" s="311">
        <v>28</v>
      </c>
      <c r="B43" s="311" t="s">
        <v>582</v>
      </c>
      <c r="C43" s="312" t="s">
        <v>583</v>
      </c>
      <c r="D43" s="311" t="s">
        <v>522</v>
      </c>
      <c r="E43" s="313">
        <v>1</v>
      </c>
      <c r="F43" s="310"/>
      <c r="G43" s="313">
        <f t="shared" si="2"/>
        <v>0</v>
      </c>
      <c r="H43" s="313"/>
      <c r="I43" s="313">
        <v>2</v>
      </c>
      <c r="J43" s="313">
        <v>2</v>
      </c>
    </row>
    <row r="44" spans="1:10" x14ac:dyDescent="0.25">
      <c r="A44" s="311">
        <v>29</v>
      </c>
      <c r="B44" s="311" t="s">
        <v>584</v>
      </c>
      <c r="C44" s="312" t="s">
        <v>585</v>
      </c>
      <c r="D44" s="311" t="s">
        <v>522</v>
      </c>
      <c r="E44" s="313">
        <v>1</v>
      </c>
      <c r="F44" s="310"/>
      <c r="G44" s="313">
        <f t="shared" si="2"/>
        <v>0</v>
      </c>
      <c r="H44" s="313"/>
      <c r="I44" s="313"/>
      <c r="J44" s="313"/>
    </row>
    <row r="45" spans="1:10" x14ac:dyDescent="0.25">
      <c r="A45" s="311">
        <v>30</v>
      </c>
      <c r="B45" s="311" t="s">
        <v>586</v>
      </c>
      <c r="C45" s="312" t="s">
        <v>587</v>
      </c>
      <c r="D45" s="311" t="s">
        <v>537</v>
      </c>
      <c r="E45" s="313">
        <v>8</v>
      </c>
      <c r="F45" s="310"/>
      <c r="G45" s="313">
        <f t="shared" si="2"/>
        <v>0</v>
      </c>
      <c r="H45" s="313"/>
      <c r="I45" s="313">
        <v>1E-3</v>
      </c>
      <c r="J45" s="313">
        <v>1.2E-2</v>
      </c>
    </row>
    <row r="46" spans="1:10" x14ac:dyDescent="0.25">
      <c r="A46" s="311">
        <v>31</v>
      </c>
      <c r="B46" s="311" t="s">
        <v>588</v>
      </c>
      <c r="C46" s="312" t="s">
        <v>589</v>
      </c>
      <c r="D46" s="311" t="s">
        <v>537</v>
      </c>
      <c r="E46" s="313">
        <v>8</v>
      </c>
      <c r="F46" s="310"/>
      <c r="G46" s="313">
        <f t="shared" si="2"/>
        <v>0</v>
      </c>
      <c r="H46" s="313"/>
      <c r="I46" s="313"/>
      <c r="J46" s="313"/>
    </row>
    <row r="47" spans="1:10" x14ac:dyDescent="0.25">
      <c r="A47" s="311">
        <v>32</v>
      </c>
      <c r="B47" s="311" t="s">
        <v>590</v>
      </c>
      <c r="C47" s="312" t="s">
        <v>591</v>
      </c>
      <c r="D47" s="311" t="s">
        <v>526</v>
      </c>
      <c r="E47" s="313">
        <v>2.5</v>
      </c>
      <c r="F47" s="310"/>
      <c r="G47" s="313">
        <f t="shared" si="2"/>
        <v>0</v>
      </c>
      <c r="H47" s="313"/>
      <c r="I47" s="313"/>
      <c r="J47" s="313"/>
    </row>
    <row r="48" spans="1:10" x14ac:dyDescent="0.25">
      <c r="A48" s="314"/>
      <c r="B48" s="314" t="s">
        <v>592</v>
      </c>
      <c r="C48" s="315" t="s">
        <v>593</v>
      </c>
      <c r="D48" s="314"/>
      <c r="E48" s="316"/>
      <c r="F48" s="316"/>
      <c r="G48" s="316">
        <f>SUM(G37:G47)</f>
        <v>0</v>
      </c>
      <c r="H48" s="316"/>
      <c r="I48" s="316"/>
      <c r="J48" s="316">
        <v>2.4969999999999999</v>
      </c>
    </row>
    <row r="49" spans="1:10" x14ac:dyDescent="0.25">
      <c r="A49" s="311"/>
      <c r="B49" s="311"/>
      <c r="C49" s="312"/>
      <c r="D49" s="311"/>
      <c r="E49" s="313"/>
      <c r="F49" s="313"/>
      <c r="G49" s="313"/>
      <c r="H49" s="313"/>
      <c r="I49" s="313"/>
      <c r="J49" s="313"/>
    </row>
    <row r="50" spans="1:10" x14ac:dyDescent="0.25">
      <c r="A50" s="317" t="s">
        <v>530</v>
      </c>
      <c r="B50" s="317" t="s">
        <v>594</v>
      </c>
      <c r="C50" s="318" t="s">
        <v>595</v>
      </c>
      <c r="D50" s="317"/>
      <c r="E50" s="319"/>
      <c r="F50" s="319"/>
      <c r="G50" s="319">
        <f>G48+G34+G26</f>
        <v>0</v>
      </c>
      <c r="H50" s="319" t="s">
        <v>527</v>
      </c>
      <c r="I50" s="319"/>
      <c r="J50" s="319"/>
    </row>
    <row r="51" spans="1:10" x14ac:dyDescent="0.25">
      <c r="A51" s="232"/>
      <c r="B51" s="232"/>
      <c r="C51" s="233"/>
      <c r="D51" s="232"/>
      <c r="E51" s="232"/>
      <c r="F51" s="232"/>
      <c r="G51" s="232"/>
      <c r="H51" s="232"/>
      <c r="I51" s="232"/>
      <c r="J51" s="232"/>
    </row>
    <row r="52" spans="1:10" x14ac:dyDescent="0.25">
      <c r="A52" s="232"/>
      <c r="B52" s="232"/>
      <c r="C52" s="232"/>
      <c r="D52" s="232"/>
      <c r="E52" s="232"/>
      <c r="F52" s="232"/>
      <c r="G52" s="232"/>
      <c r="H52" s="232"/>
      <c r="I52" s="232"/>
      <c r="J52" s="232"/>
    </row>
    <row r="53" spans="1:10" x14ac:dyDescent="0.25">
      <c r="A53" s="232"/>
      <c r="B53" s="232"/>
      <c r="C53" s="232"/>
      <c r="D53" s="232"/>
      <c r="E53" s="232"/>
      <c r="F53" s="232"/>
      <c r="G53" s="232"/>
      <c r="H53" s="232"/>
      <c r="I53" s="232"/>
      <c r="J53" s="232"/>
    </row>
    <row r="54" spans="1:10" x14ac:dyDescent="0.25">
      <c r="A54" s="232"/>
      <c r="B54" s="232"/>
      <c r="C54" s="232"/>
      <c r="D54" s="232"/>
      <c r="E54" s="232"/>
      <c r="F54" s="232"/>
      <c r="G54" s="232"/>
      <c r="H54" s="232"/>
      <c r="I54" s="232"/>
      <c r="J54" s="232"/>
    </row>
    <row r="55" spans="1:10" x14ac:dyDescent="0.25">
      <c r="A55" s="232"/>
      <c r="B55" s="232"/>
      <c r="C55" s="232"/>
      <c r="D55" s="232"/>
      <c r="E55" s="232"/>
      <c r="F55" s="232"/>
      <c r="G55" s="232"/>
      <c r="H55" s="232"/>
      <c r="I55" s="232"/>
      <c r="J55" s="232"/>
    </row>
    <row r="56" spans="1:10" x14ac:dyDescent="0.25">
      <c r="A56" s="232"/>
      <c r="B56" s="232"/>
      <c r="C56" s="232"/>
      <c r="D56" s="232"/>
      <c r="E56" s="232"/>
      <c r="F56" s="232"/>
      <c r="G56" s="232"/>
      <c r="H56" s="232"/>
      <c r="I56" s="232"/>
      <c r="J56" s="232"/>
    </row>
    <row r="57" spans="1:10" x14ac:dyDescent="0.25">
      <c r="A57" s="232"/>
      <c r="B57" s="232"/>
      <c r="C57" s="232"/>
      <c r="D57" s="232"/>
      <c r="E57" s="232"/>
      <c r="F57" s="232"/>
      <c r="G57" s="232"/>
      <c r="H57" s="232"/>
      <c r="I57" s="232"/>
      <c r="J57" s="232"/>
    </row>
    <row r="58" spans="1:10" x14ac:dyDescent="0.25">
      <c r="A58" s="232"/>
      <c r="B58" s="232"/>
      <c r="C58" s="232"/>
      <c r="D58" s="232"/>
      <c r="E58" s="232"/>
      <c r="F58" s="232"/>
      <c r="G58" s="232"/>
      <c r="H58" s="232"/>
      <c r="I58" s="232"/>
      <c r="J58" s="232"/>
    </row>
    <row r="59" spans="1:10" x14ac:dyDescent="0.25">
      <c r="A59" s="232"/>
      <c r="B59" s="232"/>
      <c r="C59" s="232"/>
      <c r="D59" s="232"/>
      <c r="E59" s="232"/>
      <c r="F59" s="232"/>
      <c r="G59" s="232"/>
      <c r="H59" s="232"/>
      <c r="I59" s="232"/>
      <c r="J59" s="232"/>
    </row>
    <row r="60" spans="1:10" x14ac:dyDescent="0.25">
      <c r="A60" s="232"/>
      <c r="B60" s="232"/>
      <c r="C60" s="232"/>
      <c r="D60" s="232"/>
      <c r="E60" s="232"/>
      <c r="F60" s="232"/>
      <c r="G60" s="232"/>
      <c r="H60" s="232"/>
      <c r="I60" s="232"/>
      <c r="J60" s="232"/>
    </row>
    <row r="61" spans="1:10" x14ac:dyDescent="0.25">
      <c r="A61" s="232"/>
      <c r="B61" s="232"/>
      <c r="C61" s="232"/>
      <c r="D61" s="232"/>
      <c r="E61" s="232"/>
      <c r="F61" s="232"/>
      <c r="G61" s="232"/>
      <c r="H61" s="232"/>
      <c r="I61" s="232"/>
      <c r="J61" s="232"/>
    </row>
    <row r="62" spans="1:10" x14ac:dyDescent="0.25">
      <c r="A62" s="232"/>
      <c r="B62" s="232"/>
      <c r="C62" s="232"/>
      <c r="D62" s="232"/>
      <c r="E62" s="232"/>
      <c r="F62" s="232"/>
      <c r="G62" s="232"/>
      <c r="H62" s="232"/>
      <c r="I62" s="232"/>
      <c r="J62" s="232"/>
    </row>
    <row r="63" spans="1:10" x14ac:dyDescent="0.25">
      <c r="A63" s="232"/>
      <c r="B63" s="232"/>
      <c r="C63" s="232"/>
      <c r="D63" s="232"/>
      <c r="E63" s="232"/>
      <c r="F63" s="232"/>
      <c r="G63" s="232"/>
      <c r="H63" s="232"/>
      <c r="I63" s="232"/>
      <c r="J63" s="232"/>
    </row>
    <row r="64" spans="1:10" x14ac:dyDescent="0.25">
      <c r="A64" s="232"/>
      <c r="B64" s="232"/>
      <c r="C64" s="232"/>
      <c r="D64" s="232"/>
      <c r="E64" s="232"/>
      <c r="F64" s="232"/>
      <c r="G64" s="232"/>
      <c r="H64" s="232"/>
      <c r="I64" s="232"/>
      <c r="J64" s="232"/>
    </row>
  </sheetData>
  <sheetProtection algorithmName="SHA-512" hashValue="ZTcPLCD97P+68dTA30duM73pWU8qz4I3wIZ1/ac9twOyiZIckiGmMFFbV19HZquhQ3wNbG0F+FK08ciajkkTFQ==" saltValue="gcZG5+ZqBB4fW3sBqj53sw==" spinCount="100000" sheet="1" objects="1" scenarios="1"/>
  <pageMargins left="0.74791666666666701" right="0.74791666666666701" top="0.98402777777777795" bottom="0.98402777777777795" header="0.511811023622047" footer="0.511811023622047"/>
  <pageSetup paperSize="9" scale="65" firstPageNumber="0" fitToHeight="9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5"/>
  <sheetViews>
    <sheetView topLeftCell="A70" zoomScaleNormal="100" workbookViewId="0">
      <selection activeCell="W13" sqref="W13"/>
    </sheetView>
  </sheetViews>
  <sheetFormatPr defaultColWidth="11.44140625" defaultRowHeight="13.2" x14ac:dyDescent="0.25"/>
  <cols>
    <col min="1" max="1" width="6.33203125" style="197" customWidth="1"/>
    <col min="2" max="2" width="1.109375" style="197" customWidth="1"/>
    <col min="3" max="3" width="50.44140625" style="197" customWidth="1"/>
    <col min="4" max="4" width="0.6640625" style="197" customWidth="1"/>
    <col min="5" max="5" width="5.44140625" style="197" customWidth="1"/>
    <col min="6" max="6" width="0.88671875" style="197" customWidth="1"/>
    <col min="7" max="7" width="10.44140625" style="197" customWidth="1"/>
    <col min="8" max="8" width="0.88671875" style="197" customWidth="1"/>
    <col min="9" max="9" width="10.44140625" style="197" customWidth="1"/>
    <col min="10" max="10" width="2.88671875" style="197" customWidth="1"/>
    <col min="11" max="11" width="5.33203125" style="197" customWidth="1"/>
    <col min="12" max="12" width="7.6640625" style="197" customWidth="1"/>
    <col min="13" max="256" width="8.88671875" style="197" customWidth="1"/>
    <col min="257" max="257" width="6.33203125" style="197" customWidth="1"/>
    <col min="258" max="258" width="1.109375" style="197" customWidth="1"/>
    <col min="259" max="259" width="50.44140625" style="197" customWidth="1"/>
    <col min="260" max="260" width="0.6640625" style="197" customWidth="1"/>
    <col min="261" max="261" width="5.44140625" style="197" customWidth="1"/>
    <col min="262" max="262" width="0.88671875" style="197" customWidth="1"/>
    <col min="263" max="263" width="10.44140625" style="197" customWidth="1"/>
    <col min="264" max="264" width="0.88671875" style="197" customWidth="1"/>
    <col min="265" max="265" width="10.44140625" style="197" customWidth="1"/>
    <col min="266" max="266" width="2.88671875" style="197" customWidth="1"/>
    <col min="267" max="267" width="5.33203125" style="197" customWidth="1"/>
    <col min="268" max="268" width="7.6640625" style="197" customWidth="1"/>
    <col min="269" max="512" width="8.88671875" style="197" customWidth="1"/>
    <col min="513" max="513" width="6.33203125" style="197" customWidth="1"/>
    <col min="514" max="514" width="1.109375" style="197" customWidth="1"/>
    <col min="515" max="515" width="50.44140625" style="197" customWidth="1"/>
    <col min="516" max="516" width="0.6640625" style="197" customWidth="1"/>
    <col min="517" max="517" width="5.44140625" style="197" customWidth="1"/>
    <col min="518" max="518" width="0.88671875" style="197" customWidth="1"/>
    <col min="519" max="519" width="10.44140625" style="197" customWidth="1"/>
    <col min="520" max="520" width="0.88671875" style="197" customWidth="1"/>
    <col min="521" max="521" width="10.44140625" style="197" customWidth="1"/>
    <col min="522" max="522" width="2.88671875" style="197" customWidth="1"/>
    <col min="523" max="523" width="5.33203125" style="197" customWidth="1"/>
    <col min="524" max="524" width="7.6640625" style="197" customWidth="1"/>
    <col min="525" max="768" width="8.88671875" style="197" customWidth="1"/>
    <col min="769" max="769" width="6.33203125" style="197" customWidth="1"/>
    <col min="770" max="770" width="1.109375" style="197" customWidth="1"/>
    <col min="771" max="771" width="50.44140625" style="197" customWidth="1"/>
    <col min="772" max="772" width="0.6640625" style="197" customWidth="1"/>
    <col min="773" max="773" width="5.44140625" style="197" customWidth="1"/>
    <col min="774" max="774" width="0.88671875" style="197" customWidth="1"/>
    <col min="775" max="775" width="10.44140625" style="197" customWidth="1"/>
    <col min="776" max="776" width="0.88671875" style="197" customWidth="1"/>
    <col min="777" max="777" width="10.44140625" style="197" customWidth="1"/>
    <col min="778" max="778" width="2.88671875" style="197" customWidth="1"/>
    <col min="779" max="779" width="5.33203125" style="197" customWidth="1"/>
    <col min="780" max="780" width="7.6640625" style="197" customWidth="1"/>
    <col min="781" max="1024" width="8.88671875" style="197" customWidth="1"/>
    <col min="1025" max="1025" width="6.33203125" style="197" customWidth="1"/>
    <col min="1026" max="1026" width="1.109375" style="197" customWidth="1"/>
    <col min="1027" max="1027" width="50.44140625" style="197" customWidth="1"/>
    <col min="1028" max="1028" width="0.6640625" style="197" customWidth="1"/>
    <col min="1029" max="1029" width="5.44140625" style="197" customWidth="1"/>
    <col min="1030" max="1030" width="0.88671875" style="197" customWidth="1"/>
    <col min="1031" max="1031" width="10.44140625" style="197" customWidth="1"/>
    <col min="1032" max="1032" width="0.88671875" style="197" customWidth="1"/>
    <col min="1033" max="1033" width="10.44140625" style="197" customWidth="1"/>
    <col min="1034" max="1034" width="2.88671875" style="197" customWidth="1"/>
    <col min="1035" max="1035" width="5.33203125" style="197" customWidth="1"/>
    <col min="1036" max="1036" width="7.6640625" style="197" customWidth="1"/>
    <col min="1037" max="1280" width="8.88671875" style="197" customWidth="1"/>
    <col min="1281" max="1281" width="6.33203125" style="197" customWidth="1"/>
    <col min="1282" max="1282" width="1.109375" style="197" customWidth="1"/>
    <col min="1283" max="1283" width="50.44140625" style="197" customWidth="1"/>
    <col min="1284" max="1284" width="0.6640625" style="197" customWidth="1"/>
    <col min="1285" max="1285" width="5.44140625" style="197" customWidth="1"/>
    <col min="1286" max="1286" width="0.88671875" style="197" customWidth="1"/>
    <col min="1287" max="1287" width="10.44140625" style="197" customWidth="1"/>
    <col min="1288" max="1288" width="0.88671875" style="197" customWidth="1"/>
    <col min="1289" max="1289" width="10.44140625" style="197" customWidth="1"/>
    <col min="1290" max="1290" width="2.88671875" style="197" customWidth="1"/>
    <col min="1291" max="1291" width="5.33203125" style="197" customWidth="1"/>
    <col min="1292" max="1292" width="7.6640625" style="197" customWidth="1"/>
    <col min="1293" max="1536" width="8.88671875" style="197" customWidth="1"/>
    <col min="1537" max="1537" width="6.33203125" style="197" customWidth="1"/>
    <col min="1538" max="1538" width="1.109375" style="197" customWidth="1"/>
    <col min="1539" max="1539" width="50.44140625" style="197" customWidth="1"/>
    <col min="1540" max="1540" width="0.6640625" style="197" customWidth="1"/>
    <col min="1541" max="1541" width="5.44140625" style="197" customWidth="1"/>
    <col min="1542" max="1542" width="0.88671875" style="197" customWidth="1"/>
    <col min="1543" max="1543" width="10.44140625" style="197" customWidth="1"/>
    <col min="1544" max="1544" width="0.88671875" style="197" customWidth="1"/>
    <col min="1545" max="1545" width="10.44140625" style="197" customWidth="1"/>
    <col min="1546" max="1546" width="2.88671875" style="197" customWidth="1"/>
    <col min="1547" max="1547" width="5.33203125" style="197" customWidth="1"/>
    <col min="1548" max="1548" width="7.6640625" style="197" customWidth="1"/>
    <col min="1549" max="1792" width="8.88671875" style="197" customWidth="1"/>
    <col min="1793" max="1793" width="6.33203125" style="197" customWidth="1"/>
    <col min="1794" max="1794" width="1.109375" style="197" customWidth="1"/>
    <col min="1795" max="1795" width="50.44140625" style="197" customWidth="1"/>
    <col min="1796" max="1796" width="0.6640625" style="197" customWidth="1"/>
    <col min="1797" max="1797" width="5.44140625" style="197" customWidth="1"/>
    <col min="1798" max="1798" width="0.88671875" style="197" customWidth="1"/>
    <col min="1799" max="1799" width="10.44140625" style="197" customWidth="1"/>
    <col min="1800" max="1800" width="0.88671875" style="197" customWidth="1"/>
    <col min="1801" max="1801" width="10.44140625" style="197" customWidth="1"/>
    <col min="1802" max="1802" width="2.88671875" style="197" customWidth="1"/>
    <col min="1803" max="1803" width="5.33203125" style="197" customWidth="1"/>
    <col min="1804" max="1804" width="7.6640625" style="197" customWidth="1"/>
    <col min="1805" max="2048" width="8.88671875" style="197" customWidth="1"/>
    <col min="2049" max="2049" width="6.33203125" style="197" customWidth="1"/>
    <col min="2050" max="2050" width="1.109375" style="197" customWidth="1"/>
    <col min="2051" max="2051" width="50.44140625" style="197" customWidth="1"/>
    <col min="2052" max="2052" width="0.6640625" style="197" customWidth="1"/>
    <col min="2053" max="2053" width="5.44140625" style="197" customWidth="1"/>
    <col min="2054" max="2054" width="0.88671875" style="197" customWidth="1"/>
    <col min="2055" max="2055" width="10.44140625" style="197" customWidth="1"/>
    <col min="2056" max="2056" width="0.88671875" style="197" customWidth="1"/>
    <col min="2057" max="2057" width="10.44140625" style="197" customWidth="1"/>
    <col min="2058" max="2058" width="2.88671875" style="197" customWidth="1"/>
    <col min="2059" max="2059" width="5.33203125" style="197" customWidth="1"/>
    <col min="2060" max="2060" width="7.6640625" style="197" customWidth="1"/>
    <col min="2061" max="2304" width="8.88671875" style="197" customWidth="1"/>
    <col min="2305" max="2305" width="6.33203125" style="197" customWidth="1"/>
    <col min="2306" max="2306" width="1.109375" style="197" customWidth="1"/>
    <col min="2307" max="2307" width="50.44140625" style="197" customWidth="1"/>
    <col min="2308" max="2308" width="0.6640625" style="197" customWidth="1"/>
    <col min="2309" max="2309" width="5.44140625" style="197" customWidth="1"/>
    <col min="2310" max="2310" width="0.88671875" style="197" customWidth="1"/>
    <col min="2311" max="2311" width="10.44140625" style="197" customWidth="1"/>
    <col min="2312" max="2312" width="0.88671875" style="197" customWidth="1"/>
    <col min="2313" max="2313" width="10.44140625" style="197" customWidth="1"/>
    <col min="2314" max="2314" width="2.88671875" style="197" customWidth="1"/>
    <col min="2315" max="2315" width="5.33203125" style="197" customWidth="1"/>
    <col min="2316" max="2316" width="7.6640625" style="197" customWidth="1"/>
    <col min="2317" max="2560" width="8.88671875" style="197" customWidth="1"/>
    <col min="2561" max="2561" width="6.33203125" style="197" customWidth="1"/>
    <col min="2562" max="2562" width="1.109375" style="197" customWidth="1"/>
    <col min="2563" max="2563" width="50.44140625" style="197" customWidth="1"/>
    <col min="2564" max="2564" width="0.6640625" style="197" customWidth="1"/>
    <col min="2565" max="2565" width="5.44140625" style="197" customWidth="1"/>
    <col min="2566" max="2566" width="0.88671875" style="197" customWidth="1"/>
    <col min="2567" max="2567" width="10.44140625" style="197" customWidth="1"/>
    <col min="2568" max="2568" width="0.88671875" style="197" customWidth="1"/>
    <col min="2569" max="2569" width="10.44140625" style="197" customWidth="1"/>
    <col min="2570" max="2570" width="2.88671875" style="197" customWidth="1"/>
    <col min="2571" max="2571" width="5.33203125" style="197" customWidth="1"/>
    <col min="2572" max="2572" width="7.6640625" style="197" customWidth="1"/>
    <col min="2573" max="2816" width="8.88671875" style="197" customWidth="1"/>
    <col min="2817" max="2817" width="6.33203125" style="197" customWidth="1"/>
    <col min="2818" max="2818" width="1.109375" style="197" customWidth="1"/>
    <col min="2819" max="2819" width="50.44140625" style="197" customWidth="1"/>
    <col min="2820" max="2820" width="0.6640625" style="197" customWidth="1"/>
    <col min="2821" max="2821" width="5.44140625" style="197" customWidth="1"/>
    <col min="2822" max="2822" width="0.88671875" style="197" customWidth="1"/>
    <col min="2823" max="2823" width="10.44140625" style="197" customWidth="1"/>
    <col min="2824" max="2824" width="0.88671875" style="197" customWidth="1"/>
    <col min="2825" max="2825" width="10.44140625" style="197" customWidth="1"/>
    <col min="2826" max="2826" width="2.88671875" style="197" customWidth="1"/>
    <col min="2827" max="2827" width="5.33203125" style="197" customWidth="1"/>
    <col min="2828" max="2828" width="7.6640625" style="197" customWidth="1"/>
    <col min="2829" max="3072" width="8.88671875" style="197" customWidth="1"/>
    <col min="3073" max="3073" width="6.33203125" style="197" customWidth="1"/>
    <col min="3074" max="3074" width="1.109375" style="197" customWidth="1"/>
    <col min="3075" max="3075" width="50.44140625" style="197" customWidth="1"/>
    <col min="3076" max="3076" width="0.6640625" style="197" customWidth="1"/>
    <col min="3077" max="3077" width="5.44140625" style="197" customWidth="1"/>
    <col min="3078" max="3078" width="0.88671875" style="197" customWidth="1"/>
    <col min="3079" max="3079" width="10.44140625" style="197" customWidth="1"/>
    <col min="3080" max="3080" width="0.88671875" style="197" customWidth="1"/>
    <col min="3081" max="3081" width="10.44140625" style="197" customWidth="1"/>
    <col min="3082" max="3082" width="2.88671875" style="197" customWidth="1"/>
    <col min="3083" max="3083" width="5.33203125" style="197" customWidth="1"/>
    <col min="3084" max="3084" width="7.6640625" style="197" customWidth="1"/>
    <col min="3085" max="3328" width="8.88671875" style="197" customWidth="1"/>
    <col min="3329" max="3329" width="6.33203125" style="197" customWidth="1"/>
    <col min="3330" max="3330" width="1.109375" style="197" customWidth="1"/>
    <col min="3331" max="3331" width="50.44140625" style="197" customWidth="1"/>
    <col min="3332" max="3332" width="0.6640625" style="197" customWidth="1"/>
    <col min="3333" max="3333" width="5.44140625" style="197" customWidth="1"/>
    <col min="3334" max="3334" width="0.88671875" style="197" customWidth="1"/>
    <col min="3335" max="3335" width="10.44140625" style="197" customWidth="1"/>
    <col min="3336" max="3336" width="0.88671875" style="197" customWidth="1"/>
    <col min="3337" max="3337" width="10.44140625" style="197" customWidth="1"/>
    <col min="3338" max="3338" width="2.88671875" style="197" customWidth="1"/>
    <col min="3339" max="3339" width="5.33203125" style="197" customWidth="1"/>
    <col min="3340" max="3340" width="7.6640625" style="197" customWidth="1"/>
    <col min="3341" max="3584" width="8.88671875" style="197" customWidth="1"/>
    <col min="3585" max="3585" width="6.33203125" style="197" customWidth="1"/>
    <col min="3586" max="3586" width="1.109375" style="197" customWidth="1"/>
    <col min="3587" max="3587" width="50.44140625" style="197" customWidth="1"/>
    <col min="3588" max="3588" width="0.6640625" style="197" customWidth="1"/>
    <col min="3589" max="3589" width="5.44140625" style="197" customWidth="1"/>
    <col min="3590" max="3590" width="0.88671875" style="197" customWidth="1"/>
    <col min="3591" max="3591" width="10.44140625" style="197" customWidth="1"/>
    <col min="3592" max="3592" width="0.88671875" style="197" customWidth="1"/>
    <col min="3593" max="3593" width="10.44140625" style="197" customWidth="1"/>
    <col min="3594" max="3594" width="2.88671875" style="197" customWidth="1"/>
    <col min="3595" max="3595" width="5.33203125" style="197" customWidth="1"/>
    <col min="3596" max="3596" width="7.6640625" style="197" customWidth="1"/>
    <col min="3597" max="3840" width="8.88671875" style="197" customWidth="1"/>
    <col min="3841" max="3841" width="6.33203125" style="197" customWidth="1"/>
    <col min="3842" max="3842" width="1.109375" style="197" customWidth="1"/>
    <col min="3843" max="3843" width="50.44140625" style="197" customWidth="1"/>
    <col min="3844" max="3844" width="0.6640625" style="197" customWidth="1"/>
    <col min="3845" max="3845" width="5.44140625" style="197" customWidth="1"/>
    <col min="3846" max="3846" width="0.88671875" style="197" customWidth="1"/>
    <col min="3847" max="3847" width="10.44140625" style="197" customWidth="1"/>
    <col min="3848" max="3848" width="0.88671875" style="197" customWidth="1"/>
    <col min="3849" max="3849" width="10.44140625" style="197" customWidth="1"/>
    <col min="3850" max="3850" width="2.88671875" style="197" customWidth="1"/>
    <col min="3851" max="3851" width="5.33203125" style="197" customWidth="1"/>
    <col min="3852" max="3852" width="7.6640625" style="197" customWidth="1"/>
    <col min="3853" max="4096" width="8.88671875" style="197" customWidth="1"/>
    <col min="4097" max="4097" width="6.33203125" style="197" customWidth="1"/>
    <col min="4098" max="4098" width="1.109375" style="197" customWidth="1"/>
    <col min="4099" max="4099" width="50.44140625" style="197" customWidth="1"/>
    <col min="4100" max="4100" width="0.6640625" style="197" customWidth="1"/>
    <col min="4101" max="4101" width="5.44140625" style="197" customWidth="1"/>
    <col min="4102" max="4102" width="0.88671875" style="197" customWidth="1"/>
    <col min="4103" max="4103" width="10.44140625" style="197" customWidth="1"/>
    <col min="4104" max="4104" width="0.88671875" style="197" customWidth="1"/>
    <col min="4105" max="4105" width="10.44140625" style="197" customWidth="1"/>
    <col min="4106" max="4106" width="2.88671875" style="197" customWidth="1"/>
    <col min="4107" max="4107" width="5.33203125" style="197" customWidth="1"/>
    <col min="4108" max="4108" width="7.6640625" style="197" customWidth="1"/>
    <col min="4109" max="4352" width="8.88671875" style="197" customWidth="1"/>
    <col min="4353" max="4353" width="6.33203125" style="197" customWidth="1"/>
    <col min="4354" max="4354" width="1.109375" style="197" customWidth="1"/>
    <col min="4355" max="4355" width="50.44140625" style="197" customWidth="1"/>
    <col min="4356" max="4356" width="0.6640625" style="197" customWidth="1"/>
    <col min="4357" max="4357" width="5.44140625" style="197" customWidth="1"/>
    <col min="4358" max="4358" width="0.88671875" style="197" customWidth="1"/>
    <col min="4359" max="4359" width="10.44140625" style="197" customWidth="1"/>
    <col min="4360" max="4360" width="0.88671875" style="197" customWidth="1"/>
    <col min="4361" max="4361" width="10.44140625" style="197" customWidth="1"/>
    <col min="4362" max="4362" width="2.88671875" style="197" customWidth="1"/>
    <col min="4363" max="4363" width="5.33203125" style="197" customWidth="1"/>
    <col min="4364" max="4364" width="7.6640625" style="197" customWidth="1"/>
    <col min="4365" max="4608" width="8.88671875" style="197" customWidth="1"/>
    <col min="4609" max="4609" width="6.33203125" style="197" customWidth="1"/>
    <col min="4610" max="4610" width="1.109375" style="197" customWidth="1"/>
    <col min="4611" max="4611" width="50.44140625" style="197" customWidth="1"/>
    <col min="4612" max="4612" width="0.6640625" style="197" customWidth="1"/>
    <col min="4613" max="4613" width="5.44140625" style="197" customWidth="1"/>
    <col min="4614" max="4614" width="0.88671875" style="197" customWidth="1"/>
    <col min="4615" max="4615" width="10.44140625" style="197" customWidth="1"/>
    <col min="4616" max="4616" width="0.88671875" style="197" customWidth="1"/>
    <col min="4617" max="4617" width="10.44140625" style="197" customWidth="1"/>
    <col min="4618" max="4618" width="2.88671875" style="197" customWidth="1"/>
    <col min="4619" max="4619" width="5.33203125" style="197" customWidth="1"/>
    <col min="4620" max="4620" width="7.6640625" style="197" customWidth="1"/>
    <col min="4621" max="4864" width="8.88671875" style="197" customWidth="1"/>
    <col min="4865" max="4865" width="6.33203125" style="197" customWidth="1"/>
    <col min="4866" max="4866" width="1.109375" style="197" customWidth="1"/>
    <col min="4867" max="4867" width="50.44140625" style="197" customWidth="1"/>
    <col min="4868" max="4868" width="0.6640625" style="197" customWidth="1"/>
    <col min="4869" max="4869" width="5.44140625" style="197" customWidth="1"/>
    <col min="4870" max="4870" width="0.88671875" style="197" customWidth="1"/>
    <col min="4871" max="4871" width="10.44140625" style="197" customWidth="1"/>
    <col min="4872" max="4872" width="0.88671875" style="197" customWidth="1"/>
    <col min="4873" max="4873" width="10.44140625" style="197" customWidth="1"/>
    <col min="4874" max="4874" width="2.88671875" style="197" customWidth="1"/>
    <col min="4875" max="4875" width="5.33203125" style="197" customWidth="1"/>
    <col min="4876" max="4876" width="7.6640625" style="197" customWidth="1"/>
    <col min="4877" max="5120" width="8.88671875" style="197" customWidth="1"/>
    <col min="5121" max="5121" width="6.33203125" style="197" customWidth="1"/>
    <col min="5122" max="5122" width="1.109375" style="197" customWidth="1"/>
    <col min="5123" max="5123" width="50.44140625" style="197" customWidth="1"/>
    <col min="5124" max="5124" width="0.6640625" style="197" customWidth="1"/>
    <col min="5125" max="5125" width="5.44140625" style="197" customWidth="1"/>
    <col min="5126" max="5126" width="0.88671875" style="197" customWidth="1"/>
    <col min="5127" max="5127" width="10.44140625" style="197" customWidth="1"/>
    <col min="5128" max="5128" width="0.88671875" style="197" customWidth="1"/>
    <col min="5129" max="5129" width="10.44140625" style="197" customWidth="1"/>
    <col min="5130" max="5130" width="2.88671875" style="197" customWidth="1"/>
    <col min="5131" max="5131" width="5.33203125" style="197" customWidth="1"/>
    <col min="5132" max="5132" width="7.6640625" style="197" customWidth="1"/>
    <col min="5133" max="5376" width="8.88671875" style="197" customWidth="1"/>
    <col min="5377" max="5377" width="6.33203125" style="197" customWidth="1"/>
    <col min="5378" max="5378" width="1.109375" style="197" customWidth="1"/>
    <col min="5379" max="5379" width="50.44140625" style="197" customWidth="1"/>
    <col min="5380" max="5380" width="0.6640625" style="197" customWidth="1"/>
    <col min="5381" max="5381" width="5.44140625" style="197" customWidth="1"/>
    <col min="5382" max="5382" width="0.88671875" style="197" customWidth="1"/>
    <col min="5383" max="5383" width="10.44140625" style="197" customWidth="1"/>
    <col min="5384" max="5384" width="0.88671875" style="197" customWidth="1"/>
    <col min="5385" max="5385" width="10.44140625" style="197" customWidth="1"/>
    <col min="5386" max="5386" width="2.88671875" style="197" customWidth="1"/>
    <col min="5387" max="5387" width="5.33203125" style="197" customWidth="1"/>
    <col min="5388" max="5388" width="7.6640625" style="197" customWidth="1"/>
    <col min="5389" max="5632" width="8.88671875" style="197" customWidth="1"/>
    <col min="5633" max="5633" width="6.33203125" style="197" customWidth="1"/>
    <col min="5634" max="5634" width="1.109375" style="197" customWidth="1"/>
    <col min="5635" max="5635" width="50.44140625" style="197" customWidth="1"/>
    <col min="5636" max="5636" width="0.6640625" style="197" customWidth="1"/>
    <col min="5637" max="5637" width="5.44140625" style="197" customWidth="1"/>
    <col min="5638" max="5638" width="0.88671875" style="197" customWidth="1"/>
    <col min="5639" max="5639" width="10.44140625" style="197" customWidth="1"/>
    <col min="5640" max="5640" width="0.88671875" style="197" customWidth="1"/>
    <col min="5641" max="5641" width="10.44140625" style="197" customWidth="1"/>
    <col min="5642" max="5642" width="2.88671875" style="197" customWidth="1"/>
    <col min="5643" max="5643" width="5.33203125" style="197" customWidth="1"/>
    <col min="5644" max="5644" width="7.6640625" style="197" customWidth="1"/>
    <col min="5645" max="5888" width="8.88671875" style="197" customWidth="1"/>
    <col min="5889" max="5889" width="6.33203125" style="197" customWidth="1"/>
    <col min="5890" max="5890" width="1.109375" style="197" customWidth="1"/>
    <col min="5891" max="5891" width="50.44140625" style="197" customWidth="1"/>
    <col min="5892" max="5892" width="0.6640625" style="197" customWidth="1"/>
    <col min="5893" max="5893" width="5.44140625" style="197" customWidth="1"/>
    <col min="5894" max="5894" width="0.88671875" style="197" customWidth="1"/>
    <col min="5895" max="5895" width="10.44140625" style="197" customWidth="1"/>
    <col min="5896" max="5896" width="0.88671875" style="197" customWidth="1"/>
    <col min="5897" max="5897" width="10.44140625" style="197" customWidth="1"/>
    <col min="5898" max="5898" width="2.88671875" style="197" customWidth="1"/>
    <col min="5899" max="5899" width="5.33203125" style="197" customWidth="1"/>
    <col min="5900" max="5900" width="7.6640625" style="197" customWidth="1"/>
    <col min="5901" max="6144" width="8.88671875" style="197" customWidth="1"/>
    <col min="6145" max="6145" width="6.33203125" style="197" customWidth="1"/>
    <col min="6146" max="6146" width="1.109375" style="197" customWidth="1"/>
    <col min="6147" max="6147" width="50.44140625" style="197" customWidth="1"/>
    <col min="6148" max="6148" width="0.6640625" style="197" customWidth="1"/>
    <col min="6149" max="6149" width="5.44140625" style="197" customWidth="1"/>
    <col min="6150" max="6150" width="0.88671875" style="197" customWidth="1"/>
    <col min="6151" max="6151" width="10.44140625" style="197" customWidth="1"/>
    <col min="6152" max="6152" width="0.88671875" style="197" customWidth="1"/>
    <col min="6153" max="6153" width="10.44140625" style="197" customWidth="1"/>
    <col min="6154" max="6154" width="2.88671875" style="197" customWidth="1"/>
    <col min="6155" max="6155" width="5.33203125" style="197" customWidth="1"/>
    <col min="6156" max="6156" width="7.6640625" style="197" customWidth="1"/>
    <col min="6157" max="6400" width="8.88671875" style="197" customWidth="1"/>
    <col min="6401" max="6401" width="6.33203125" style="197" customWidth="1"/>
    <col min="6402" max="6402" width="1.109375" style="197" customWidth="1"/>
    <col min="6403" max="6403" width="50.44140625" style="197" customWidth="1"/>
    <col min="6404" max="6404" width="0.6640625" style="197" customWidth="1"/>
    <col min="6405" max="6405" width="5.44140625" style="197" customWidth="1"/>
    <col min="6406" max="6406" width="0.88671875" style="197" customWidth="1"/>
    <col min="6407" max="6407" width="10.44140625" style="197" customWidth="1"/>
    <col min="6408" max="6408" width="0.88671875" style="197" customWidth="1"/>
    <col min="6409" max="6409" width="10.44140625" style="197" customWidth="1"/>
    <col min="6410" max="6410" width="2.88671875" style="197" customWidth="1"/>
    <col min="6411" max="6411" width="5.33203125" style="197" customWidth="1"/>
    <col min="6412" max="6412" width="7.6640625" style="197" customWidth="1"/>
    <col min="6413" max="6656" width="8.88671875" style="197" customWidth="1"/>
    <col min="6657" max="6657" width="6.33203125" style="197" customWidth="1"/>
    <col min="6658" max="6658" width="1.109375" style="197" customWidth="1"/>
    <col min="6659" max="6659" width="50.44140625" style="197" customWidth="1"/>
    <col min="6660" max="6660" width="0.6640625" style="197" customWidth="1"/>
    <col min="6661" max="6661" width="5.44140625" style="197" customWidth="1"/>
    <col min="6662" max="6662" width="0.88671875" style="197" customWidth="1"/>
    <col min="6663" max="6663" width="10.44140625" style="197" customWidth="1"/>
    <col min="6664" max="6664" width="0.88671875" style="197" customWidth="1"/>
    <col min="6665" max="6665" width="10.44140625" style="197" customWidth="1"/>
    <col min="6666" max="6666" width="2.88671875" style="197" customWidth="1"/>
    <col min="6667" max="6667" width="5.33203125" style="197" customWidth="1"/>
    <col min="6668" max="6668" width="7.6640625" style="197" customWidth="1"/>
    <col min="6669" max="6912" width="8.88671875" style="197" customWidth="1"/>
    <col min="6913" max="6913" width="6.33203125" style="197" customWidth="1"/>
    <col min="6914" max="6914" width="1.109375" style="197" customWidth="1"/>
    <col min="6915" max="6915" width="50.44140625" style="197" customWidth="1"/>
    <col min="6916" max="6916" width="0.6640625" style="197" customWidth="1"/>
    <col min="6917" max="6917" width="5.44140625" style="197" customWidth="1"/>
    <col min="6918" max="6918" width="0.88671875" style="197" customWidth="1"/>
    <col min="6919" max="6919" width="10.44140625" style="197" customWidth="1"/>
    <col min="6920" max="6920" width="0.88671875" style="197" customWidth="1"/>
    <col min="6921" max="6921" width="10.44140625" style="197" customWidth="1"/>
    <col min="6922" max="6922" width="2.88671875" style="197" customWidth="1"/>
    <col min="6923" max="6923" width="5.33203125" style="197" customWidth="1"/>
    <col min="6924" max="6924" width="7.6640625" style="197" customWidth="1"/>
    <col min="6925" max="7168" width="8.88671875" style="197" customWidth="1"/>
    <col min="7169" max="7169" width="6.33203125" style="197" customWidth="1"/>
    <col min="7170" max="7170" width="1.109375" style="197" customWidth="1"/>
    <col min="7171" max="7171" width="50.44140625" style="197" customWidth="1"/>
    <col min="7172" max="7172" width="0.6640625" style="197" customWidth="1"/>
    <col min="7173" max="7173" width="5.44140625" style="197" customWidth="1"/>
    <col min="7174" max="7174" width="0.88671875" style="197" customWidth="1"/>
    <col min="7175" max="7175" width="10.44140625" style="197" customWidth="1"/>
    <col min="7176" max="7176" width="0.88671875" style="197" customWidth="1"/>
    <col min="7177" max="7177" width="10.44140625" style="197" customWidth="1"/>
    <col min="7178" max="7178" width="2.88671875" style="197" customWidth="1"/>
    <col min="7179" max="7179" width="5.33203125" style="197" customWidth="1"/>
    <col min="7180" max="7180" width="7.6640625" style="197" customWidth="1"/>
    <col min="7181" max="7424" width="8.88671875" style="197" customWidth="1"/>
    <col min="7425" max="7425" width="6.33203125" style="197" customWidth="1"/>
    <col min="7426" max="7426" width="1.109375" style="197" customWidth="1"/>
    <col min="7427" max="7427" width="50.44140625" style="197" customWidth="1"/>
    <col min="7428" max="7428" width="0.6640625" style="197" customWidth="1"/>
    <col min="7429" max="7429" width="5.44140625" style="197" customWidth="1"/>
    <col min="7430" max="7430" width="0.88671875" style="197" customWidth="1"/>
    <col min="7431" max="7431" width="10.44140625" style="197" customWidth="1"/>
    <col min="7432" max="7432" width="0.88671875" style="197" customWidth="1"/>
    <col min="7433" max="7433" width="10.44140625" style="197" customWidth="1"/>
    <col min="7434" max="7434" width="2.88671875" style="197" customWidth="1"/>
    <col min="7435" max="7435" width="5.33203125" style="197" customWidth="1"/>
    <col min="7436" max="7436" width="7.6640625" style="197" customWidth="1"/>
    <col min="7437" max="7680" width="8.88671875" style="197" customWidth="1"/>
    <col min="7681" max="7681" width="6.33203125" style="197" customWidth="1"/>
    <col min="7682" max="7682" width="1.109375" style="197" customWidth="1"/>
    <col min="7683" max="7683" width="50.44140625" style="197" customWidth="1"/>
    <col min="7684" max="7684" width="0.6640625" style="197" customWidth="1"/>
    <col min="7685" max="7685" width="5.44140625" style="197" customWidth="1"/>
    <col min="7686" max="7686" width="0.88671875" style="197" customWidth="1"/>
    <col min="7687" max="7687" width="10.44140625" style="197" customWidth="1"/>
    <col min="7688" max="7688" width="0.88671875" style="197" customWidth="1"/>
    <col min="7689" max="7689" width="10.44140625" style="197" customWidth="1"/>
    <col min="7690" max="7690" width="2.88671875" style="197" customWidth="1"/>
    <col min="7691" max="7691" width="5.33203125" style="197" customWidth="1"/>
    <col min="7692" max="7692" width="7.6640625" style="197" customWidth="1"/>
    <col min="7693" max="7936" width="8.88671875" style="197" customWidth="1"/>
    <col min="7937" max="7937" width="6.33203125" style="197" customWidth="1"/>
    <col min="7938" max="7938" width="1.109375" style="197" customWidth="1"/>
    <col min="7939" max="7939" width="50.44140625" style="197" customWidth="1"/>
    <col min="7940" max="7940" width="0.6640625" style="197" customWidth="1"/>
    <col min="7941" max="7941" width="5.44140625" style="197" customWidth="1"/>
    <col min="7942" max="7942" width="0.88671875" style="197" customWidth="1"/>
    <col min="7943" max="7943" width="10.44140625" style="197" customWidth="1"/>
    <col min="7944" max="7944" width="0.88671875" style="197" customWidth="1"/>
    <col min="7945" max="7945" width="10.44140625" style="197" customWidth="1"/>
    <col min="7946" max="7946" width="2.88671875" style="197" customWidth="1"/>
    <col min="7947" max="7947" width="5.33203125" style="197" customWidth="1"/>
    <col min="7948" max="7948" width="7.6640625" style="197" customWidth="1"/>
    <col min="7949" max="8192" width="8.88671875" style="197" customWidth="1"/>
    <col min="8193" max="8193" width="6.33203125" style="197" customWidth="1"/>
    <col min="8194" max="8194" width="1.109375" style="197" customWidth="1"/>
    <col min="8195" max="8195" width="50.44140625" style="197" customWidth="1"/>
    <col min="8196" max="8196" width="0.6640625" style="197" customWidth="1"/>
    <col min="8197" max="8197" width="5.44140625" style="197" customWidth="1"/>
    <col min="8198" max="8198" width="0.88671875" style="197" customWidth="1"/>
    <col min="8199" max="8199" width="10.44140625" style="197" customWidth="1"/>
    <col min="8200" max="8200" width="0.88671875" style="197" customWidth="1"/>
    <col min="8201" max="8201" width="10.44140625" style="197" customWidth="1"/>
    <col min="8202" max="8202" width="2.88671875" style="197" customWidth="1"/>
    <col min="8203" max="8203" width="5.33203125" style="197" customWidth="1"/>
    <col min="8204" max="8204" width="7.6640625" style="197" customWidth="1"/>
    <col min="8205" max="8448" width="8.88671875" style="197" customWidth="1"/>
    <col min="8449" max="8449" width="6.33203125" style="197" customWidth="1"/>
    <col min="8450" max="8450" width="1.109375" style="197" customWidth="1"/>
    <col min="8451" max="8451" width="50.44140625" style="197" customWidth="1"/>
    <col min="8452" max="8452" width="0.6640625" style="197" customWidth="1"/>
    <col min="8453" max="8453" width="5.44140625" style="197" customWidth="1"/>
    <col min="8454" max="8454" width="0.88671875" style="197" customWidth="1"/>
    <col min="8455" max="8455" width="10.44140625" style="197" customWidth="1"/>
    <col min="8456" max="8456" width="0.88671875" style="197" customWidth="1"/>
    <col min="8457" max="8457" width="10.44140625" style="197" customWidth="1"/>
    <col min="8458" max="8458" width="2.88671875" style="197" customWidth="1"/>
    <col min="8459" max="8459" width="5.33203125" style="197" customWidth="1"/>
    <col min="8460" max="8460" width="7.6640625" style="197" customWidth="1"/>
    <col min="8461" max="8704" width="8.88671875" style="197" customWidth="1"/>
    <col min="8705" max="8705" width="6.33203125" style="197" customWidth="1"/>
    <col min="8706" max="8706" width="1.109375" style="197" customWidth="1"/>
    <col min="8707" max="8707" width="50.44140625" style="197" customWidth="1"/>
    <col min="8708" max="8708" width="0.6640625" style="197" customWidth="1"/>
    <col min="8709" max="8709" width="5.44140625" style="197" customWidth="1"/>
    <col min="8710" max="8710" width="0.88671875" style="197" customWidth="1"/>
    <col min="8711" max="8711" width="10.44140625" style="197" customWidth="1"/>
    <col min="8712" max="8712" width="0.88671875" style="197" customWidth="1"/>
    <col min="8713" max="8713" width="10.44140625" style="197" customWidth="1"/>
    <col min="8714" max="8714" width="2.88671875" style="197" customWidth="1"/>
    <col min="8715" max="8715" width="5.33203125" style="197" customWidth="1"/>
    <col min="8716" max="8716" width="7.6640625" style="197" customWidth="1"/>
    <col min="8717" max="8960" width="8.88671875" style="197" customWidth="1"/>
    <col min="8961" max="8961" width="6.33203125" style="197" customWidth="1"/>
    <col min="8962" max="8962" width="1.109375" style="197" customWidth="1"/>
    <col min="8963" max="8963" width="50.44140625" style="197" customWidth="1"/>
    <col min="8964" max="8964" width="0.6640625" style="197" customWidth="1"/>
    <col min="8965" max="8965" width="5.44140625" style="197" customWidth="1"/>
    <col min="8966" max="8966" width="0.88671875" style="197" customWidth="1"/>
    <col min="8967" max="8967" width="10.44140625" style="197" customWidth="1"/>
    <col min="8968" max="8968" width="0.88671875" style="197" customWidth="1"/>
    <col min="8969" max="8969" width="10.44140625" style="197" customWidth="1"/>
    <col min="8970" max="8970" width="2.88671875" style="197" customWidth="1"/>
    <col min="8971" max="8971" width="5.33203125" style="197" customWidth="1"/>
    <col min="8972" max="8972" width="7.6640625" style="197" customWidth="1"/>
    <col min="8973" max="9216" width="8.88671875" style="197" customWidth="1"/>
    <col min="9217" max="9217" width="6.33203125" style="197" customWidth="1"/>
    <col min="9218" max="9218" width="1.109375" style="197" customWidth="1"/>
    <col min="9219" max="9219" width="50.44140625" style="197" customWidth="1"/>
    <col min="9220" max="9220" width="0.6640625" style="197" customWidth="1"/>
    <col min="9221" max="9221" width="5.44140625" style="197" customWidth="1"/>
    <col min="9222" max="9222" width="0.88671875" style="197" customWidth="1"/>
    <col min="9223" max="9223" width="10.44140625" style="197" customWidth="1"/>
    <col min="9224" max="9224" width="0.88671875" style="197" customWidth="1"/>
    <col min="9225" max="9225" width="10.44140625" style="197" customWidth="1"/>
    <col min="9226" max="9226" width="2.88671875" style="197" customWidth="1"/>
    <col min="9227" max="9227" width="5.33203125" style="197" customWidth="1"/>
    <col min="9228" max="9228" width="7.6640625" style="197" customWidth="1"/>
    <col min="9229" max="9472" width="8.88671875" style="197" customWidth="1"/>
    <col min="9473" max="9473" width="6.33203125" style="197" customWidth="1"/>
    <col min="9474" max="9474" width="1.109375" style="197" customWidth="1"/>
    <col min="9475" max="9475" width="50.44140625" style="197" customWidth="1"/>
    <col min="9476" max="9476" width="0.6640625" style="197" customWidth="1"/>
    <col min="9477" max="9477" width="5.44140625" style="197" customWidth="1"/>
    <col min="9478" max="9478" width="0.88671875" style="197" customWidth="1"/>
    <col min="9479" max="9479" width="10.44140625" style="197" customWidth="1"/>
    <col min="9480" max="9480" width="0.88671875" style="197" customWidth="1"/>
    <col min="9481" max="9481" width="10.44140625" style="197" customWidth="1"/>
    <col min="9482" max="9482" width="2.88671875" style="197" customWidth="1"/>
    <col min="9483" max="9483" width="5.33203125" style="197" customWidth="1"/>
    <col min="9484" max="9484" width="7.6640625" style="197" customWidth="1"/>
    <col min="9485" max="9728" width="8.88671875" style="197" customWidth="1"/>
    <col min="9729" max="9729" width="6.33203125" style="197" customWidth="1"/>
    <col min="9730" max="9730" width="1.109375" style="197" customWidth="1"/>
    <col min="9731" max="9731" width="50.44140625" style="197" customWidth="1"/>
    <col min="9732" max="9732" width="0.6640625" style="197" customWidth="1"/>
    <col min="9733" max="9733" width="5.44140625" style="197" customWidth="1"/>
    <col min="9734" max="9734" width="0.88671875" style="197" customWidth="1"/>
    <col min="9735" max="9735" width="10.44140625" style="197" customWidth="1"/>
    <col min="9736" max="9736" width="0.88671875" style="197" customWidth="1"/>
    <col min="9737" max="9737" width="10.44140625" style="197" customWidth="1"/>
    <col min="9738" max="9738" width="2.88671875" style="197" customWidth="1"/>
    <col min="9739" max="9739" width="5.33203125" style="197" customWidth="1"/>
    <col min="9740" max="9740" width="7.6640625" style="197" customWidth="1"/>
    <col min="9741" max="9984" width="8.88671875" style="197" customWidth="1"/>
    <col min="9985" max="9985" width="6.33203125" style="197" customWidth="1"/>
    <col min="9986" max="9986" width="1.109375" style="197" customWidth="1"/>
    <col min="9987" max="9987" width="50.44140625" style="197" customWidth="1"/>
    <col min="9988" max="9988" width="0.6640625" style="197" customWidth="1"/>
    <col min="9989" max="9989" width="5.44140625" style="197" customWidth="1"/>
    <col min="9990" max="9990" width="0.88671875" style="197" customWidth="1"/>
    <col min="9991" max="9991" width="10.44140625" style="197" customWidth="1"/>
    <col min="9992" max="9992" width="0.88671875" style="197" customWidth="1"/>
    <col min="9993" max="9993" width="10.44140625" style="197" customWidth="1"/>
    <col min="9994" max="9994" width="2.88671875" style="197" customWidth="1"/>
    <col min="9995" max="9995" width="5.33203125" style="197" customWidth="1"/>
    <col min="9996" max="9996" width="7.6640625" style="197" customWidth="1"/>
    <col min="9997" max="10240" width="8.88671875" style="197" customWidth="1"/>
    <col min="10241" max="10241" width="6.33203125" style="197" customWidth="1"/>
    <col min="10242" max="10242" width="1.109375" style="197" customWidth="1"/>
    <col min="10243" max="10243" width="50.44140625" style="197" customWidth="1"/>
    <col min="10244" max="10244" width="0.6640625" style="197" customWidth="1"/>
    <col min="10245" max="10245" width="5.44140625" style="197" customWidth="1"/>
    <col min="10246" max="10246" width="0.88671875" style="197" customWidth="1"/>
    <col min="10247" max="10247" width="10.44140625" style="197" customWidth="1"/>
    <col min="10248" max="10248" width="0.88671875" style="197" customWidth="1"/>
    <col min="10249" max="10249" width="10.44140625" style="197" customWidth="1"/>
    <col min="10250" max="10250" width="2.88671875" style="197" customWidth="1"/>
    <col min="10251" max="10251" width="5.33203125" style="197" customWidth="1"/>
    <col min="10252" max="10252" width="7.6640625" style="197" customWidth="1"/>
    <col min="10253" max="10496" width="8.88671875" style="197" customWidth="1"/>
    <col min="10497" max="10497" width="6.33203125" style="197" customWidth="1"/>
    <col min="10498" max="10498" width="1.109375" style="197" customWidth="1"/>
    <col min="10499" max="10499" width="50.44140625" style="197" customWidth="1"/>
    <col min="10500" max="10500" width="0.6640625" style="197" customWidth="1"/>
    <col min="10501" max="10501" width="5.44140625" style="197" customWidth="1"/>
    <col min="10502" max="10502" width="0.88671875" style="197" customWidth="1"/>
    <col min="10503" max="10503" width="10.44140625" style="197" customWidth="1"/>
    <col min="10504" max="10504" width="0.88671875" style="197" customWidth="1"/>
    <col min="10505" max="10505" width="10.44140625" style="197" customWidth="1"/>
    <col min="10506" max="10506" width="2.88671875" style="197" customWidth="1"/>
    <col min="10507" max="10507" width="5.33203125" style="197" customWidth="1"/>
    <col min="10508" max="10508" width="7.6640625" style="197" customWidth="1"/>
    <col min="10509" max="10752" width="8.88671875" style="197" customWidth="1"/>
    <col min="10753" max="10753" width="6.33203125" style="197" customWidth="1"/>
    <col min="10754" max="10754" width="1.109375" style="197" customWidth="1"/>
    <col min="10755" max="10755" width="50.44140625" style="197" customWidth="1"/>
    <col min="10756" max="10756" width="0.6640625" style="197" customWidth="1"/>
    <col min="10757" max="10757" width="5.44140625" style="197" customWidth="1"/>
    <col min="10758" max="10758" width="0.88671875" style="197" customWidth="1"/>
    <col min="10759" max="10759" width="10.44140625" style="197" customWidth="1"/>
    <col min="10760" max="10760" width="0.88671875" style="197" customWidth="1"/>
    <col min="10761" max="10761" width="10.44140625" style="197" customWidth="1"/>
    <col min="10762" max="10762" width="2.88671875" style="197" customWidth="1"/>
    <col min="10763" max="10763" width="5.33203125" style="197" customWidth="1"/>
    <col min="10764" max="10764" width="7.6640625" style="197" customWidth="1"/>
    <col min="10765" max="11008" width="8.88671875" style="197" customWidth="1"/>
    <col min="11009" max="11009" width="6.33203125" style="197" customWidth="1"/>
    <col min="11010" max="11010" width="1.109375" style="197" customWidth="1"/>
    <col min="11011" max="11011" width="50.44140625" style="197" customWidth="1"/>
    <col min="11012" max="11012" width="0.6640625" style="197" customWidth="1"/>
    <col min="11013" max="11013" width="5.44140625" style="197" customWidth="1"/>
    <col min="11014" max="11014" width="0.88671875" style="197" customWidth="1"/>
    <col min="11015" max="11015" width="10.44140625" style="197" customWidth="1"/>
    <col min="11016" max="11016" width="0.88671875" style="197" customWidth="1"/>
    <col min="11017" max="11017" width="10.44140625" style="197" customWidth="1"/>
    <col min="11018" max="11018" width="2.88671875" style="197" customWidth="1"/>
    <col min="11019" max="11019" width="5.33203125" style="197" customWidth="1"/>
    <col min="11020" max="11020" width="7.6640625" style="197" customWidth="1"/>
    <col min="11021" max="11264" width="8.88671875" style="197" customWidth="1"/>
    <col min="11265" max="11265" width="6.33203125" style="197" customWidth="1"/>
    <col min="11266" max="11266" width="1.109375" style="197" customWidth="1"/>
    <col min="11267" max="11267" width="50.44140625" style="197" customWidth="1"/>
    <col min="11268" max="11268" width="0.6640625" style="197" customWidth="1"/>
    <col min="11269" max="11269" width="5.44140625" style="197" customWidth="1"/>
    <col min="11270" max="11270" width="0.88671875" style="197" customWidth="1"/>
    <col min="11271" max="11271" width="10.44140625" style="197" customWidth="1"/>
    <col min="11272" max="11272" width="0.88671875" style="197" customWidth="1"/>
    <col min="11273" max="11273" width="10.44140625" style="197" customWidth="1"/>
    <col min="11274" max="11274" width="2.88671875" style="197" customWidth="1"/>
    <col min="11275" max="11275" width="5.33203125" style="197" customWidth="1"/>
    <col min="11276" max="11276" width="7.6640625" style="197" customWidth="1"/>
    <col min="11277" max="11520" width="8.88671875" style="197" customWidth="1"/>
    <col min="11521" max="11521" width="6.33203125" style="197" customWidth="1"/>
    <col min="11522" max="11522" width="1.109375" style="197" customWidth="1"/>
    <col min="11523" max="11523" width="50.44140625" style="197" customWidth="1"/>
    <col min="11524" max="11524" width="0.6640625" style="197" customWidth="1"/>
    <col min="11525" max="11525" width="5.44140625" style="197" customWidth="1"/>
    <col min="11526" max="11526" width="0.88671875" style="197" customWidth="1"/>
    <col min="11527" max="11527" width="10.44140625" style="197" customWidth="1"/>
    <col min="11528" max="11528" width="0.88671875" style="197" customWidth="1"/>
    <col min="11529" max="11529" width="10.44140625" style="197" customWidth="1"/>
    <col min="11530" max="11530" width="2.88671875" style="197" customWidth="1"/>
    <col min="11531" max="11531" width="5.33203125" style="197" customWidth="1"/>
    <col min="11532" max="11532" width="7.6640625" style="197" customWidth="1"/>
    <col min="11533" max="11776" width="8.88671875" style="197" customWidth="1"/>
    <col min="11777" max="11777" width="6.33203125" style="197" customWidth="1"/>
    <col min="11778" max="11778" width="1.109375" style="197" customWidth="1"/>
    <col min="11779" max="11779" width="50.44140625" style="197" customWidth="1"/>
    <col min="11780" max="11780" width="0.6640625" style="197" customWidth="1"/>
    <col min="11781" max="11781" width="5.44140625" style="197" customWidth="1"/>
    <col min="11782" max="11782" width="0.88671875" style="197" customWidth="1"/>
    <col min="11783" max="11783" width="10.44140625" style="197" customWidth="1"/>
    <col min="11784" max="11784" width="0.88671875" style="197" customWidth="1"/>
    <col min="11785" max="11785" width="10.44140625" style="197" customWidth="1"/>
    <col min="11786" max="11786" width="2.88671875" style="197" customWidth="1"/>
    <col min="11787" max="11787" width="5.33203125" style="197" customWidth="1"/>
    <col min="11788" max="11788" width="7.6640625" style="197" customWidth="1"/>
    <col min="11789" max="12032" width="8.88671875" style="197" customWidth="1"/>
    <col min="12033" max="12033" width="6.33203125" style="197" customWidth="1"/>
    <col min="12034" max="12034" width="1.109375" style="197" customWidth="1"/>
    <col min="12035" max="12035" width="50.44140625" style="197" customWidth="1"/>
    <col min="12036" max="12036" width="0.6640625" style="197" customWidth="1"/>
    <col min="12037" max="12037" width="5.44140625" style="197" customWidth="1"/>
    <col min="12038" max="12038" width="0.88671875" style="197" customWidth="1"/>
    <col min="12039" max="12039" width="10.44140625" style="197" customWidth="1"/>
    <col min="12040" max="12040" width="0.88671875" style="197" customWidth="1"/>
    <col min="12041" max="12041" width="10.44140625" style="197" customWidth="1"/>
    <col min="12042" max="12042" width="2.88671875" style="197" customWidth="1"/>
    <col min="12043" max="12043" width="5.33203125" style="197" customWidth="1"/>
    <col min="12044" max="12044" width="7.6640625" style="197" customWidth="1"/>
    <col min="12045" max="12288" width="8.88671875" style="197" customWidth="1"/>
    <col min="12289" max="12289" width="6.33203125" style="197" customWidth="1"/>
    <col min="12290" max="12290" width="1.109375" style="197" customWidth="1"/>
    <col min="12291" max="12291" width="50.44140625" style="197" customWidth="1"/>
    <col min="12292" max="12292" width="0.6640625" style="197" customWidth="1"/>
    <col min="12293" max="12293" width="5.44140625" style="197" customWidth="1"/>
    <col min="12294" max="12294" width="0.88671875" style="197" customWidth="1"/>
    <col min="12295" max="12295" width="10.44140625" style="197" customWidth="1"/>
    <col min="12296" max="12296" width="0.88671875" style="197" customWidth="1"/>
    <col min="12297" max="12297" width="10.44140625" style="197" customWidth="1"/>
    <col min="12298" max="12298" width="2.88671875" style="197" customWidth="1"/>
    <col min="12299" max="12299" width="5.33203125" style="197" customWidth="1"/>
    <col min="12300" max="12300" width="7.6640625" style="197" customWidth="1"/>
    <col min="12301" max="12544" width="8.88671875" style="197" customWidth="1"/>
    <col min="12545" max="12545" width="6.33203125" style="197" customWidth="1"/>
    <col min="12546" max="12546" width="1.109375" style="197" customWidth="1"/>
    <col min="12547" max="12547" width="50.44140625" style="197" customWidth="1"/>
    <col min="12548" max="12548" width="0.6640625" style="197" customWidth="1"/>
    <col min="12549" max="12549" width="5.44140625" style="197" customWidth="1"/>
    <col min="12550" max="12550" width="0.88671875" style="197" customWidth="1"/>
    <col min="12551" max="12551" width="10.44140625" style="197" customWidth="1"/>
    <col min="12552" max="12552" width="0.88671875" style="197" customWidth="1"/>
    <col min="12553" max="12553" width="10.44140625" style="197" customWidth="1"/>
    <col min="12554" max="12554" width="2.88671875" style="197" customWidth="1"/>
    <col min="12555" max="12555" width="5.33203125" style="197" customWidth="1"/>
    <col min="12556" max="12556" width="7.6640625" style="197" customWidth="1"/>
    <col min="12557" max="12800" width="8.88671875" style="197" customWidth="1"/>
    <col min="12801" max="12801" width="6.33203125" style="197" customWidth="1"/>
    <col min="12802" max="12802" width="1.109375" style="197" customWidth="1"/>
    <col min="12803" max="12803" width="50.44140625" style="197" customWidth="1"/>
    <col min="12804" max="12804" width="0.6640625" style="197" customWidth="1"/>
    <col min="12805" max="12805" width="5.44140625" style="197" customWidth="1"/>
    <col min="12806" max="12806" width="0.88671875" style="197" customWidth="1"/>
    <col min="12807" max="12807" width="10.44140625" style="197" customWidth="1"/>
    <col min="12808" max="12808" width="0.88671875" style="197" customWidth="1"/>
    <col min="12809" max="12809" width="10.44140625" style="197" customWidth="1"/>
    <col min="12810" max="12810" width="2.88671875" style="197" customWidth="1"/>
    <col min="12811" max="12811" width="5.33203125" style="197" customWidth="1"/>
    <col min="12812" max="12812" width="7.6640625" style="197" customWidth="1"/>
    <col min="12813" max="13056" width="8.88671875" style="197" customWidth="1"/>
    <col min="13057" max="13057" width="6.33203125" style="197" customWidth="1"/>
    <col min="13058" max="13058" width="1.109375" style="197" customWidth="1"/>
    <col min="13059" max="13059" width="50.44140625" style="197" customWidth="1"/>
    <col min="13060" max="13060" width="0.6640625" style="197" customWidth="1"/>
    <col min="13061" max="13061" width="5.44140625" style="197" customWidth="1"/>
    <col min="13062" max="13062" width="0.88671875" style="197" customWidth="1"/>
    <col min="13063" max="13063" width="10.44140625" style="197" customWidth="1"/>
    <col min="13064" max="13064" width="0.88671875" style="197" customWidth="1"/>
    <col min="13065" max="13065" width="10.44140625" style="197" customWidth="1"/>
    <col min="13066" max="13066" width="2.88671875" style="197" customWidth="1"/>
    <col min="13067" max="13067" width="5.33203125" style="197" customWidth="1"/>
    <col min="13068" max="13068" width="7.6640625" style="197" customWidth="1"/>
    <col min="13069" max="13312" width="8.88671875" style="197" customWidth="1"/>
    <col min="13313" max="13313" width="6.33203125" style="197" customWidth="1"/>
    <col min="13314" max="13314" width="1.109375" style="197" customWidth="1"/>
    <col min="13315" max="13315" width="50.44140625" style="197" customWidth="1"/>
    <col min="13316" max="13316" width="0.6640625" style="197" customWidth="1"/>
    <col min="13317" max="13317" width="5.44140625" style="197" customWidth="1"/>
    <col min="13318" max="13318" width="0.88671875" style="197" customWidth="1"/>
    <col min="13319" max="13319" width="10.44140625" style="197" customWidth="1"/>
    <col min="13320" max="13320" width="0.88671875" style="197" customWidth="1"/>
    <col min="13321" max="13321" width="10.44140625" style="197" customWidth="1"/>
    <col min="13322" max="13322" width="2.88671875" style="197" customWidth="1"/>
    <col min="13323" max="13323" width="5.33203125" style="197" customWidth="1"/>
    <col min="13324" max="13324" width="7.6640625" style="197" customWidth="1"/>
    <col min="13325" max="13568" width="8.88671875" style="197" customWidth="1"/>
    <col min="13569" max="13569" width="6.33203125" style="197" customWidth="1"/>
    <col min="13570" max="13570" width="1.109375" style="197" customWidth="1"/>
    <col min="13571" max="13571" width="50.44140625" style="197" customWidth="1"/>
    <col min="13572" max="13572" width="0.6640625" style="197" customWidth="1"/>
    <col min="13573" max="13573" width="5.44140625" style="197" customWidth="1"/>
    <col min="13574" max="13574" width="0.88671875" style="197" customWidth="1"/>
    <col min="13575" max="13575" width="10.44140625" style="197" customWidth="1"/>
    <col min="13576" max="13576" width="0.88671875" style="197" customWidth="1"/>
    <col min="13577" max="13577" width="10.44140625" style="197" customWidth="1"/>
    <col min="13578" max="13578" width="2.88671875" style="197" customWidth="1"/>
    <col min="13579" max="13579" width="5.33203125" style="197" customWidth="1"/>
    <col min="13580" max="13580" width="7.6640625" style="197" customWidth="1"/>
    <col min="13581" max="13824" width="8.88671875" style="197" customWidth="1"/>
    <col min="13825" max="13825" width="6.33203125" style="197" customWidth="1"/>
    <col min="13826" max="13826" width="1.109375" style="197" customWidth="1"/>
    <col min="13827" max="13827" width="50.44140625" style="197" customWidth="1"/>
    <col min="13828" max="13828" width="0.6640625" style="197" customWidth="1"/>
    <col min="13829" max="13829" width="5.44140625" style="197" customWidth="1"/>
    <col min="13830" max="13830" width="0.88671875" style="197" customWidth="1"/>
    <col min="13831" max="13831" width="10.44140625" style="197" customWidth="1"/>
    <col min="13832" max="13832" width="0.88671875" style="197" customWidth="1"/>
    <col min="13833" max="13833" width="10.44140625" style="197" customWidth="1"/>
    <col min="13834" max="13834" width="2.88671875" style="197" customWidth="1"/>
    <col min="13835" max="13835" width="5.33203125" style="197" customWidth="1"/>
    <col min="13836" max="13836" width="7.6640625" style="197" customWidth="1"/>
    <col min="13837" max="14080" width="8.88671875" style="197" customWidth="1"/>
    <col min="14081" max="14081" width="6.33203125" style="197" customWidth="1"/>
    <col min="14082" max="14082" width="1.109375" style="197" customWidth="1"/>
    <col min="14083" max="14083" width="50.44140625" style="197" customWidth="1"/>
    <col min="14084" max="14084" width="0.6640625" style="197" customWidth="1"/>
    <col min="14085" max="14085" width="5.44140625" style="197" customWidth="1"/>
    <col min="14086" max="14086" width="0.88671875" style="197" customWidth="1"/>
    <col min="14087" max="14087" width="10.44140625" style="197" customWidth="1"/>
    <col min="14088" max="14088" width="0.88671875" style="197" customWidth="1"/>
    <col min="14089" max="14089" width="10.44140625" style="197" customWidth="1"/>
    <col min="14090" max="14090" width="2.88671875" style="197" customWidth="1"/>
    <col min="14091" max="14091" width="5.33203125" style="197" customWidth="1"/>
    <col min="14092" max="14092" width="7.6640625" style="197" customWidth="1"/>
    <col min="14093" max="14336" width="8.88671875" style="197" customWidth="1"/>
    <col min="14337" max="14337" width="6.33203125" style="197" customWidth="1"/>
    <col min="14338" max="14338" width="1.109375" style="197" customWidth="1"/>
    <col min="14339" max="14339" width="50.44140625" style="197" customWidth="1"/>
    <col min="14340" max="14340" width="0.6640625" style="197" customWidth="1"/>
    <col min="14341" max="14341" width="5.44140625" style="197" customWidth="1"/>
    <col min="14342" max="14342" width="0.88671875" style="197" customWidth="1"/>
    <col min="14343" max="14343" width="10.44140625" style="197" customWidth="1"/>
    <col min="14344" max="14344" width="0.88671875" style="197" customWidth="1"/>
    <col min="14345" max="14345" width="10.44140625" style="197" customWidth="1"/>
    <col min="14346" max="14346" width="2.88671875" style="197" customWidth="1"/>
    <col min="14347" max="14347" width="5.33203125" style="197" customWidth="1"/>
    <col min="14348" max="14348" width="7.6640625" style="197" customWidth="1"/>
    <col min="14349" max="14592" width="8.88671875" style="197" customWidth="1"/>
    <col min="14593" max="14593" width="6.33203125" style="197" customWidth="1"/>
    <col min="14594" max="14594" width="1.109375" style="197" customWidth="1"/>
    <col min="14595" max="14595" width="50.44140625" style="197" customWidth="1"/>
    <col min="14596" max="14596" width="0.6640625" style="197" customWidth="1"/>
    <col min="14597" max="14597" width="5.44140625" style="197" customWidth="1"/>
    <col min="14598" max="14598" width="0.88671875" style="197" customWidth="1"/>
    <col min="14599" max="14599" width="10.44140625" style="197" customWidth="1"/>
    <col min="14600" max="14600" width="0.88671875" style="197" customWidth="1"/>
    <col min="14601" max="14601" width="10.44140625" style="197" customWidth="1"/>
    <col min="14602" max="14602" width="2.88671875" style="197" customWidth="1"/>
    <col min="14603" max="14603" width="5.33203125" style="197" customWidth="1"/>
    <col min="14604" max="14604" width="7.6640625" style="197" customWidth="1"/>
    <col min="14605" max="14848" width="8.88671875" style="197" customWidth="1"/>
    <col min="14849" max="14849" width="6.33203125" style="197" customWidth="1"/>
    <col min="14850" max="14850" width="1.109375" style="197" customWidth="1"/>
    <col min="14851" max="14851" width="50.44140625" style="197" customWidth="1"/>
    <col min="14852" max="14852" width="0.6640625" style="197" customWidth="1"/>
    <col min="14853" max="14853" width="5.44140625" style="197" customWidth="1"/>
    <col min="14854" max="14854" width="0.88671875" style="197" customWidth="1"/>
    <col min="14855" max="14855" width="10.44140625" style="197" customWidth="1"/>
    <col min="14856" max="14856" width="0.88671875" style="197" customWidth="1"/>
    <col min="14857" max="14857" width="10.44140625" style="197" customWidth="1"/>
    <col min="14858" max="14858" width="2.88671875" style="197" customWidth="1"/>
    <col min="14859" max="14859" width="5.33203125" style="197" customWidth="1"/>
    <col min="14860" max="14860" width="7.6640625" style="197" customWidth="1"/>
    <col min="14861" max="15104" width="8.88671875" style="197" customWidth="1"/>
    <col min="15105" max="15105" width="6.33203125" style="197" customWidth="1"/>
    <col min="15106" max="15106" width="1.109375" style="197" customWidth="1"/>
    <col min="15107" max="15107" width="50.44140625" style="197" customWidth="1"/>
    <col min="15108" max="15108" width="0.6640625" style="197" customWidth="1"/>
    <col min="15109" max="15109" width="5.44140625" style="197" customWidth="1"/>
    <col min="15110" max="15110" width="0.88671875" style="197" customWidth="1"/>
    <col min="15111" max="15111" width="10.44140625" style="197" customWidth="1"/>
    <col min="15112" max="15112" width="0.88671875" style="197" customWidth="1"/>
    <col min="15113" max="15113" width="10.44140625" style="197" customWidth="1"/>
    <col min="15114" max="15114" width="2.88671875" style="197" customWidth="1"/>
    <col min="15115" max="15115" width="5.33203125" style="197" customWidth="1"/>
    <col min="15116" max="15116" width="7.6640625" style="197" customWidth="1"/>
    <col min="15117" max="15360" width="8.88671875" style="197" customWidth="1"/>
    <col min="15361" max="15361" width="6.33203125" style="197" customWidth="1"/>
    <col min="15362" max="15362" width="1.109375" style="197" customWidth="1"/>
    <col min="15363" max="15363" width="50.44140625" style="197" customWidth="1"/>
    <col min="15364" max="15364" width="0.6640625" style="197" customWidth="1"/>
    <col min="15365" max="15365" width="5.44140625" style="197" customWidth="1"/>
    <col min="15366" max="15366" width="0.88671875" style="197" customWidth="1"/>
    <col min="15367" max="15367" width="10.44140625" style="197" customWidth="1"/>
    <col min="15368" max="15368" width="0.88671875" style="197" customWidth="1"/>
    <col min="15369" max="15369" width="10.44140625" style="197" customWidth="1"/>
    <col min="15370" max="15370" width="2.88671875" style="197" customWidth="1"/>
    <col min="15371" max="15371" width="5.33203125" style="197" customWidth="1"/>
    <col min="15372" max="15372" width="7.6640625" style="197" customWidth="1"/>
    <col min="15373" max="15616" width="8.88671875" style="197" customWidth="1"/>
    <col min="15617" max="15617" width="6.33203125" style="197" customWidth="1"/>
    <col min="15618" max="15618" width="1.109375" style="197" customWidth="1"/>
    <col min="15619" max="15619" width="50.44140625" style="197" customWidth="1"/>
    <col min="15620" max="15620" width="0.6640625" style="197" customWidth="1"/>
    <col min="15621" max="15621" width="5.44140625" style="197" customWidth="1"/>
    <col min="15622" max="15622" width="0.88671875" style="197" customWidth="1"/>
    <col min="15623" max="15623" width="10.44140625" style="197" customWidth="1"/>
    <col min="15624" max="15624" width="0.88671875" style="197" customWidth="1"/>
    <col min="15625" max="15625" width="10.44140625" style="197" customWidth="1"/>
    <col min="15626" max="15626" width="2.88671875" style="197" customWidth="1"/>
    <col min="15627" max="15627" width="5.33203125" style="197" customWidth="1"/>
    <col min="15628" max="15628" width="7.6640625" style="197" customWidth="1"/>
    <col min="15629" max="15872" width="8.88671875" style="197" customWidth="1"/>
    <col min="15873" max="15873" width="6.33203125" style="197" customWidth="1"/>
    <col min="15874" max="15874" width="1.109375" style="197" customWidth="1"/>
    <col min="15875" max="15875" width="50.44140625" style="197" customWidth="1"/>
    <col min="15876" max="15876" width="0.6640625" style="197" customWidth="1"/>
    <col min="15877" max="15877" width="5.44140625" style="197" customWidth="1"/>
    <col min="15878" max="15878" width="0.88671875" style="197" customWidth="1"/>
    <col min="15879" max="15879" width="10.44140625" style="197" customWidth="1"/>
    <col min="15880" max="15880" width="0.88671875" style="197" customWidth="1"/>
    <col min="15881" max="15881" width="10.44140625" style="197" customWidth="1"/>
    <col min="15882" max="15882" width="2.88671875" style="197" customWidth="1"/>
    <col min="15883" max="15883" width="5.33203125" style="197" customWidth="1"/>
    <col min="15884" max="15884" width="7.6640625" style="197" customWidth="1"/>
    <col min="15885" max="16128" width="8.88671875" style="197" customWidth="1"/>
    <col min="16129" max="16129" width="6.33203125" style="197" customWidth="1"/>
    <col min="16130" max="16130" width="1.109375" style="197" customWidth="1"/>
    <col min="16131" max="16131" width="50.44140625" style="197" customWidth="1"/>
    <col min="16132" max="16132" width="0.6640625" style="197" customWidth="1"/>
    <col min="16133" max="16133" width="5.44140625" style="197" customWidth="1"/>
    <col min="16134" max="16134" width="0.88671875" style="197" customWidth="1"/>
    <col min="16135" max="16135" width="10.44140625" style="197" customWidth="1"/>
    <col min="16136" max="16136" width="0.88671875" style="197" customWidth="1"/>
    <col min="16137" max="16137" width="10.44140625" style="197" customWidth="1"/>
    <col min="16138" max="16138" width="2.88671875" style="197" customWidth="1"/>
    <col min="16139" max="16139" width="5.33203125" style="197" customWidth="1"/>
    <col min="16140" max="16140" width="7.6640625" style="197" customWidth="1"/>
    <col min="16141" max="16384" width="8.88671875" style="197" customWidth="1"/>
  </cols>
  <sheetData>
    <row r="1" spans="1:13" ht="15.75" customHeight="1" x14ac:dyDescent="0.25">
      <c r="I1" s="198" t="s">
        <v>977</v>
      </c>
    </row>
    <row r="2" spans="1:13" ht="20.25" customHeight="1" x14ac:dyDescent="0.25">
      <c r="A2" s="454" t="s">
        <v>432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13" ht="15.75" customHeight="1" x14ac:dyDescent="0.25"/>
    <row r="4" spans="1:13" ht="21.9" customHeight="1" x14ac:dyDescent="0.25">
      <c r="A4" s="455" t="s">
        <v>978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199"/>
    </row>
    <row r="5" spans="1:13" ht="21.9" customHeight="1" x14ac:dyDescent="0.25">
      <c r="A5" s="455" t="s">
        <v>979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199"/>
    </row>
    <row r="6" spans="1:13" ht="15.75" customHeight="1" x14ac:dyDescent="0.25">
      <c r="A6" s="456" t="s">
        <v>433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200"/>
    </row>
    <row r="7" spans="1:13" ht="15.75" customHeight="1" x14ac:dyDescent="0.25"/>
    <row r="8" spans="1:13" ht="15.75" customHeight="1" x14ac:dyDescent="0.25"/>
    <row r="9" spans="1:13" ht="30.75" customHeight="1" x14ac:dyDescent="0.25">
      <c r="A9" s="201" t="s">
        <v>434</v>
      </c>
      <c r="B9" s="202"/>
      <c r="C9" s="202" t="s">
        <v>435</v>
      </c>
      <c r="D9" s="202"/>
      <c r="E9" s="201" t="s">
        <v>436</v>
      </c>
      <c r="F9" s="202"/>
      <c r="G9" s="202" t="s">
        <v>437</v>
      </c>
      <c r="H9" s="202"/>
      <c r="I9" s="202" t="s">
        <v>438</v>
      </c>
      <c r="J9" s="202"/>
      <c r="K9" s="202" t="s">
        <v>439</v>
      </c>
      <c r="L9" s="202" t="s">
        <v>440</v>
      </c>
    </row>
    <row r="10" spans="1:13" ht="15.75" customHeight="1" x14ac:dyDescent="0.25"/>
    <row r="11" spans="1:13" ht="15.75" customHeight="1" x14ac:dyDescent="0.25">
      <c r="C11" s="203" t="s">
        <v>441</v>
      </c>
      <c r="L11" s="204"/>
    </row>
    <row r="12" spans="1:13" ht="15.75" customHeight="1" x14ac:dyDescent="0.3">
      <c r="A12" s="205"/>
      <c r="B12" s="206"/>
      <c r="C12" s="207"/>
      <c r="D12" s="206"/>
      <c r="E12" s="208"/>
      <c r="F12" s="206"/>
      <c r="G12" s="209"/>
      <c r="H12" s="206"/>
      <c r="I12" s="212"/>
      <c r="J12" s="206"/>
      <c r="K12" s="210"/>
      <c r="L12" s="210"/>
    </row>
    <row r="13" spans="1:13" ht="15.75" customHeight="1" x14ac:dyDescent="0.3">
      <c r="A13" s="205"/>
      <c r="B13" s="206"/>
      <c r="C13" s="291" t="s">
        <v>980</v>
      </c>
      <c r="D13" s="206"/>
      <c r="E13" s="208"/>
      <c r="F13" s="206"/>
      <c r="G13" s="209"/>
      <c r="H13" s="206"/>
      <c r="I13" s="212"/>
      <c r="J13" s="206"/>
      <c r="K13" s="210"/>
      <c r="L13" s="210"/>
    </row>
    <row r="14" spans="1:13" ht="15.75" customHeight="1" x14ac:dyDescent="0.3">
      <c r="A14" s="205"/>
      <c r="B14" s="206"/>
      <c r="C14" s="207"/>
      <c r="D14" s="206"/>
      <c r="E14" s="208"/>
      <c r="F14" s="206"/>
      <c r="G14" s="209"/>
      <c r="H14" s="206"/>
      <c r="I14" s="212"/>
      <c r="J14" s="206"/>
      <c r="K14" s="210"/>
      <c r="L14" s="210"/>
    </row>
    <row r="15" spans="1:13" ht="15.75" customHeight="1" x14ac:dyDescent="0.3">
      <c r="A15" s="205">
        <v>225001</v>
      </c>
      <c r="B15" s="206"/>
      <c r="C15" s="207" t="s">
        <v>981</v>
      </c>
      <c r="D15" s="226"/>
      <c r="E15" s="208">
        <v>4</v>
      </c>
      <c r="F15" s="206"/>
      <c r="G15" s="320"/>
      <c r="H15" s="206"/>
      <c r="I15" s="292">
        <f t="shared" ref="I15:I23" si="0">E15*G15</f>
        <v>0</v>
      </c>
      <c r="J15" s="206"/>
      <c r="K15" s="210" t="s">
        <v>442</v>
      </c>
      <c r="L15" s="210" t="s">
        <v>443</v>
      </c>
    </row>
    <row r="16" spans="1:13" ht="15.75" customHeight="1" x14ac:dyDescent="0.3">
      <c r="A16" s="205">
        <v>225002</v>
      </c>
      <c r="B16" s="206"/>
      <c r="C16" s="207" t="s">
        <v>483</v>
      </c>
      <c r="D16" s="226"/>
      <c r="E16" s="208">
        <v>6</v>
      </c>
      <c r="F16" s="206"/>
      <c r="G16" s="320"/>
      <c r="H16" s="206"/>
      <c r="I16" s="292">
        <f t="shared" si="0"/>
        <v>0</v>
      </c>
      <c r="J16" s="206"/>
      <c r="K16" s="210" t="s">
        <v>442</v>
      </c>
      <c r="L16" s="210" t="s">
        <v>443</v>
      </c>
    </row>
    <row r="17" spans="1:12" ht="15.75" customHeight="1" x14ac:dyDescent="0.3">
      <c r="A17" s="205">
        <v>225003</v>
      </c>
      <c r="B17" s="206"/>
      <c r="C17" s="207" t="s">
        <v>982</v>
      </c>
      <c r="D17" s="226"/>
      <c r="E17" s="208">
        <v>1</v>
      </c>
      <c r="F17" s="206"/>
      <c r="G17" s="320"/>
      <c r="H17" s="206"/>
      <c r="I17" s="292">
        <f t="shared" si="0"/>
        <v>0</v>
      </c>
      <c r="J17" s="206"/>
      <c r="K17" s="210" t="s">
        <v>442</v>
      </c>
      <c r="L17" s="210" t="s">
        <v>443</v>
      </c>
    </row>
    <row r="18" spans="1:12" ht="15.75" customHeight="1" x14ac:dyDescent="0.3">
      <c r="A18" s="205"/>
      <c r="B18" s="206"/>
      <c r="C18" s="207"/>
      <c r="D18" s="226"/>
      <c r="E18" s="208"/>
      <c r="F18" s="206"/>
      <c r="G18" s="320"/>
      <c r="H18" s="206"/>
      <c r="I18" s="292">
        <f t="shared" si="0"/>
        <v>0</v>
      </c>
      <c r="J18" s="206"/>
      <c r="K18" s="210"/>
      <c r="L18" s="210"/>
    </row>
    <row r="19" spans="1:12" ht="15.75" customHeight="1" x14ac:dyDescent="0.3">
      <c r="A19" s="205">
        <v>225004</v>
      </c>
      <c r="B19" s="206"/>
      <c r="C19" s="207" t="s">
        <v>484</v>
      </c>
      <c r="D19" s="226"/>
      <c r="E19" s="208">
        <v>100</v>
      </c>
      <c r="F19" s="206"/>
      <c r="G19" s="320"/>
      <c r="H19" s="206"/>
      <c r="I19" s="292">
        <f t="shared" si="0"/>
        <v>0</v>
      </c>
      <c r="J19" s="206"/>
      <c r="K19" s="210" t="s">
        <v>442</v>
      </c>
      <c r="L19" s="210" t="s">
        <v>443</v>
      </c>
    </row>
    <row r="20" spans="1:12" ht="15.75" customHeight="1" x14ac:dyDescent="0.3">
      <c r="A20" s="205">
        <v>225005</v>
      </c>
      <c r="B20" s="206"/>
      <c r="C20" s="207" t="s">
        <v>485</v>
      </c>
      <c r="D20" s="226"/>
      <c r="E20" s="208">
        <v>30</v>
      </c>
      <c r="F20" s="206"/>
      <c r="G20" s="320"/>
      <c r="H20" s="206"/>
      <c r="I20" s="292">
        <f t="shared" si="0"/>
        <v>0</v>
      </c>
      <c r="J20" s="206"/>
      <c r="K20" s="210" t="s">
        <v>442</v>
      </c>
      <c r="L20" s="210" t="s">
        <v>443</v>
      </c>
    </row>
    <row r="21" spans="1:12" ht="15.75" customHeight="1" x14ac:dyDescent="0.3">
      <c r="A21" s="205">
        <v>225006</v>
      </c>
      <c r="B21" s="206"/>
      <c r="C21" s="207" t="s">
        <v>486</v>
      </c>
      <c r="D21" s="226"/>
      <c r="E21" s="208">
        <v>7</v>
      </c>
      <c r="F21" s="206"/>
      <c r="G21" s="320"/>
      <c r="H21" s="206"/>
      <c r="I21" s="292">
        <f t="shared" si="0"/>
        <v>0</v>
      </c>
      <c r="J21" s="206"/>
      <c r="K21" s="210" t="s">
        <v>442</v>
      </c>
      <c r="L21" s="210" t="s">
        <v>443</v>
      </c>
    </row>
    <row r="22" spans="1:12" ht="15.75" customHeight="1" x14ac:dyDescent="0.3">
      <c r="A22" s="205">
        <v>225007</v>
      </c>
      <c r="B22" s="206"/>
      <c r="C22" s="207" t="s">
        <v>983</v>
      </c>
      <c r="D22" s="226"/>
      <c r="E22" s="208">
        <v>10</v>
      </c>
      <c r="F22" s="206"/>
      <c r="G22" s="320"/>
      <c r="H22" s="206"/>
      <c r="I22" s="292">
        <f t="shared" si="0"/>
        <v>0</v>
      </c>
      <c r="J22" s="206"/>
      <c r="K22" s="210" t="s">
        <v>442</v>
      </c>
      <c r="L22" s="210" t="s">
        <v>443</v>
      </c>
    </row>
    <row r="23" spans="1:12" ht="15.75" customHeight="1" x14ac:dyDescent="0.25">
      <c r="A23" s="205">
        <v>225008</v>
      </c>
      <c r="B23" s="206"/>
      <c r="C23" s="207" t="s">
        <v>457</v>
      </c>
      <c r="D23" s="206"/>
      <c r="E23" s="208">
        <v>1</v>
      </c>
      <c r="F23" s="206"/>
      <c r="G23" s="320"/>
      <c r="H23" s="206"/>
      <c r="I23" s="292">
        <f t="shared" si="0"/>
        <v>0</v>
      </c>
      <c r="J23" s="206"/>
      <c r="K23" s="210" t="s">
        <v>442</v>
      </c>
      <c r="L23" s="210" t="s">
        <v>443</v>
      </c>
    </row>
    <row r="24" spans="1:12" ht="15.75" customHeight="1" x14ac:dyDescent="0.25">
      <c r="A24" s="205"/>
      <c r="B24" s="206"/>
      <c r="C24" s="207"/>
      <c r="D24" s="206"/>
      <c r="E24" s="208"/>
      <c r="F24" s="206"/>
      <c r="G24" s="320"/>
      <c r="H24" s="206"/>
      <c r="I24" s="292"/>
      <c r="J24" s="206"/>
      <c r="K24" s="210"/>
      <c r="L24" s="210"/>
    </row>
    <row r="25" spans="1:12" ht="15.75" customHeight="1" x14ac:dyDescent="0.25">
      <c r="A25" s="205"/>
      <c r="B25" s="206"/>
      <c r="C25" s="207"/>
      <c r="D25" s="206"/>
      <c r="E25" s="208"/>
      <c r="F25" s="206"/>
      <c r="G25" s="320"/>
      <c r="H25" s="206"/>
      <c r="I25" s="292"/>
      <c r="J25" s="206"/>
      <c r="K25" s="210"/>
      <c r="L25" s="210"/>
    </row>
    <row r="26" spans="1:12" ht="15.75" customHeight="1" x14ac:dyDescent="0.25">
      <c r="A26" s="205"/>
      <c r="B26" s="206"/>
      <c r="C26" s="291" t="s">
        <v>984</v>
      </c>
      <c r="D26" s="206"/>
      <c r="E26" s="208"/>
      <c r="F26" s="206"/>
      <c r="G26" s="320"/>
      <c r="H26" s="206"/>
      <c r="I26" s="292"/>
      <c r="J26" s="206"/>
      <c r="K26" s="210"/>
      <c r="L26" s="210"/>
    </row>
    <row r="27" spans="1:12" ht="15.75" customHeight="1" x14ac:dyDescent="0.25">
      <c r="A27" s="205"/>
      <c r="B27" s="206"/>
      <c r="C27" s="207"/>
      <c r="D27" s="206"/>
      <c r="E27" s="208"/>
      <c r="F27" s="206"/>
      <c r="G27" s="320"/>
      <c r="H27" s="206"/>
      <c r="I27" s="292"/>
      <c r="J27" s="206"/>
      <c r="K27" s="210"/>
      <c r="L27" s="210"/>
    </row>
    <row r="28" spans="1:12" ht="15.75" customHeight="1" x14ac:dyDescent="0.25">
      <c r="A28" s="205">
        <v>225009</v>
      </c>
      <c r="B28" s="206"/>
      <c r="C28" s="207" t="s">
        <v>985</v>
      </c>
      <c r="D28" s="206"/>
      <c r="E28" s="208">
        <v>1</v>
      </c>
      <c r="F28" s="206"/>
      <c r="G28" s="320"/>
      <c r="H28" s="206"/>
      <c r="I28" s="292">
        <f>E28*G28</f>
        <v>0</v>
      </c>
      <c r="J28" s="206"/>
      <c r="K28" s="210" t="s">
        <v>442</v>
      </c>
      <c r="L28" s="210" t="s">
        <v>443</v>
      </c>
    </row>
    <row r="29" spans="1:12" ht="15.75" customHeight="1" x14ac:dyDescent="0.25">
      <c r="A29" s="205">
        <v>225010</v>
      </c>
      <c r="B29" s="206"/>
      <c r="C29" s="207" t="s">
        <v>444</v>
      </c>
      <c r="D29" s="206"/>
      <c r="E29" s="208">
        <v>1</v>
      </c>
      <c r="F29" s="206"/>
      <c r="G29" s="320"/>
      <c r="H29" s="206"/>
      <c r="I29" s="292">
        <f t="shared" ref="I29:I47" si="1">E29*G29</f>
        <v>0</v>
      </c>
      <c r="J29" s="206"/>
      <c r="K29" s="210" t="s">
        <v>442</v>
      </c>
      <c r="L29" s="210" t="s">
        <v>443</v>
      </c>
    </row>
    <row r="30" spans="1:12" ht="15.75" customHeight="1" x14ac:dyDescent="0.25">
      <c r="A30" s="205">
        <v>225011</v>
      </c>
      <c r="B30" s="206"/>
      <c r="C30" s="207" t="s">
        <v>686</v>
      </c>
      <c r="D30" s="206"/>
      <c r="E30" s="208">
        <v>2</v>
      </c>
      <c r="F30" s="206"/>
      <c r="G30" s="320"/>
      <c r="H30" s="206"/>
      <c r="I30" s="292">
        <f t="shared" si="1"/>
        <v>0</v>
      </c>
      <c r="J30" s="206"/>
      <c r="K30" s="210" t="s">
        <v>442</v>
      </c>
      <c r="L30" s="210" t="s">
        <v>443</v>
      </c>
    </row>
    <row r="31" spans="1:12" ht="15.75" customHeight="1" x14ac:dyDescent="0.25">
      <c r="A31" s="205">
        <v>225012</v>
      </c>
      <c r="B31" s="206"/>
      <c r="C31" s="207" t="s">
        <v>493</v>
      </c>
      <c r="D31" s="206"/>
      <c r="E31" s="208">
        <v>2</v>
      </c>
      <c r="F31" s="206"/>
      <c r="G31" s="320"/>
      <c r="H31" s="206"/>
      <c r="I31" s="292">
        <f t="shared" si="1"/>
        <v>0</v>
      </c>
      <c r="J31" s="206"/>
      <c r="K31" s="210" t="s">
        <v>442</v>
      </c>
      <c r="L31" s="210" t="s">
        <v>443</v>
      </c>
    </row>
    <row r="32" spans="1:12" ht="15.75" customHeight="1" x14ac:dyDescent="0.25">
      <c r="A32" s="205">
        <v>225013</v>
      </c>
      <c r="B32" s="206"/>
      <c r="C32" s="207" t="s">
        <v>445</v>
      </c>
      <c r="D32" s="206"/>
      <c r="E32" s="208">
        <v>2</v>
      </c>
      <c r="F32" s="206"/>
      <c r="G32" s="320"/>
      <c r="H32" s="206"/>
      <c r="I32" s="292">
        <f t="shared" si="1"/>
        <v>0</v>
      </c>
      <c r="J32" s="206"/>
      <c r="K32" s="210" t="s">
        <v>442</v>
      </c>
      <c r="L32" s="210" t="s">
        <v>443</v>
      </c>
    </row>
    <row r="33" spans="1:17" ht="15.75" customHeight="1" x14ac:dyDescent="0.25">
      <c r="A33" s="205">
        <v>225014</v>
      </c>
      <c r="B33" s="206"/>
      <c r="C33" s="207" t="s">
        <v>446</v>
      </c>
      <c r="D33" s="206"/>
      <c r="E33" s="208">
        <v>1</v>
      </c>
      <c r="F33" s="206"/>
      <c r="G33" s="320"/>
      <c r="H33" s="206"/>
      <c r="I33" s="292">
        <f t="shared" si="1"/>
        <v>0</v>
      </c>
      <c r="J33" s="206"/>
      <c r="K33" s="210" t="s">
        <v>442</v>
      </c>
      <c r="L33" s="210" t="s">
        <v>443</v>
      </c>
    </row>
    <row r="34" spans="1:17" ht="15.75" customHeight="1" x14ac:dyDescent="0.25">
      <c r="A34" s="205">
        <v>225015</v>
      </c>
      <c r="B34" s="206"/>
      <c r="C34" s="207" t="s">
        <v>447</v>
      </c>
      <c r="D34" s="206"/>
      <c r="E34" s="208">
        <v>20</v>
      </c>
      <c r="F34" s="206"/>
      <c r="G34" s="320"/>
      <c r="H34" s="206"/>
      <c r="I34" s="292">
        <f t="shared" si="1"/>
        <v>0</v>
      </c>
      <c r="J34" s="206"/>
      <c r="K34" s="210" t="s">
        <v>442</v>
      </c>
      <c r="L34" s="210" t="s">
        <v>443</v>
      </c>
    </row>
    <row r="35" spans="1:17" ht="15.75" customHeight="1" x14ac:dyDescent="0.25">
      <c r="A35" s="205">
        <v>225016</v>
      </c>
      <c r="B35" s="206"/>
      <c r="C35" s="207" t="s">
        <v>448</v>
      </c>
      <c r="D35" s="206"/>
      <c r="E35" s="208">
        <v>5</v>
      </c>
      <c r="F35" s="206"/>
      <c r="G35" s="320"/>
      <c r="H35" s="206"/>
      <c r="I35" s="292">
        <f t="shared" si="1"/>
        <v>0</v>
      </c>
      <c r="J35" s="206"/>
      <c r="K35" s="210" t="s">
        <v>442</v>
      </c>
      <c r="L35" s="210" t="s">
        <v>443</v>
      </c>
    </row>
    <row r="36" spans="1:17" ht="15.75" customHeight="1" x14ac:dyDescent="0.25">
      <c r="A36" s="205">
        <v>225017</v>
      </c>
      <c r="B36" s="206"/>
      <c r="C36" s="207" t="s">
        <v>449</v>
      </c>
      <c r="D36" s="206"/>
      <c r="E36" s="208">
        <v>200</v>
      </c>
      <c r="F36" s="206"/>
      <c r="G36" s="320"/>
      <c r="H36" s="206"/>
      <c r="I36" s="292">
        <f t="shared" si="1"/>
        <v>0</v>
      </c>
      <c r="J36" s="206"/>
      <c r="K36" s="210" t="s">
        <v>442</v>
      </c>
      <c r="L36" s="210" t="s">
        <v>443</v>
      </c>
      <c r="Q36" s="292"/>
    </row>
    <row r="37" spans="1:17" ht="15.75" customHeight="1" x14ac:dyDescent="0.25">
      <c r="A37" s="205"/>
      <c r="B37" s="206"/>
      <c r="C37" s="207"/>
      <c r="D37" s="206"/>
      <c r="E37" s="208"/>
      <c r="F37" s="206"/>
      <c r="G37" s="320"/>
      <c r="H37" s="206"/>
      <c r="I37" s="292">
        <f t="shared" si="1"/>
        <v>0</v>
      </c>
      <c r="J37" s="206"/>
      <c r="K37" s="210"/>
      <c r="L37" s="210"/>
    </row>
    <row r="38" spans="1:17" ht="34.5" customHeight="1" x14ac:dyDescent="0.25">
      <c r="A38" s="205">
        <v>225018</v>
      </c>
      <c r="B38" s="206"/>
      <c r="C38" s="211" t="s">
        <v>986</v>
      </c>
      <c r="D38" s="206"/>
      <c r="E38" s="208">
        <v>1</v>
      </c>
      <c r="F38" s="206"/>
      <c r="G38" s="320"/>
      <c r="H38" s="206"/>
      <c r="I38" s="292">
        <f t="shared" si="1"/>
        <v>0</v>
      </c>
      <c r="J38" s="206"/>
      <c r="K38" s="210" t="s">
        <v>442</v>
      </c>
      <c r="L38" s="210" t="s">
        <v>443</v>
      </c>
    </row>
    <row r="39" spans="1:17" ht="33.75" customHeight="1" x14ac:dyDescent="0.25">
      <c r="A39" s="205">
        <v>225019</v>
      </c>
      <c r="B39" s="206"/>
      <c r="C39" s="211" t="s">
        <v>987</v>
      </c>
      <c r="D39" s="206"/>
      <c r="E39" s="208">
        <v>1</v>
      </c>
      <c r="F39" s="206"/>
      <c r="G39" s="320"/>
      <c r="H39" s="206"/>
      <c r="I39" s="292">
        <f>E39*G39</f>
        <v>0</v>
      </c>
      <c r="J39" s="206"/>
      <c r="K39" s="210" t="s">
        <v>442</v>
      </c>
      <c r="L39" s="210" t="s">
        <v>443</v>
      </c>
    </row>
    <row r="40" spans="1:17" ht="15.75" customHeight="1" x14ac:dyDescent="0.25">
      <c r="A40" s="205"/>
      <c r="B40" s="206"/>
      <c r="C40" s="211"/>
      <c r="D40" s="206"/>
      <c r="E40" s="208"/>
      <c r="F40" s="206"/>
      <c r="G40" s="320"/>
      <c r="H40" s="206"/>
      <c r="I40" s="292">
        <f t="shared" si="1"/>
        <v>0</v>
      </c>
      <c r="J40" s="206"/>
      <c r="K40" s="210"/>
      <c r="L40" s="210"/>
    </row>
    <row r="41" spans="1:17" ht="15.75" customHeight="1" x14ac:dyDescent="0.25">
      <c r="A41" s="205">
        <v>225020</v>
      </c>
      <c r="B41" s="206"/>
      <c r="C41" s="207" t="s">
        <v>452</v>
      </c>
      <c r="D41" s="206"/>
      <c r="E41" s="208">
        <v>2</v>
      </c>
      <c r="F41" s="206"/>
      <c r="G41" s="320"/>
      <c r="H41" s="206"/>
      <c r="I41" s="292">
        <f t="shared" si="1"/>
        <v>0</v>
      </c>
      <c r="J41" s="206"/>
      <c r="K41" s="210" t="s">
        <v>442</v>
      </c>
      <c r="L41" s="210" t="s">
        <v>443</v>
      </c>
    </row>
    <row r="42" spans="1:17" ht="15.75" customHeight="1" x14ac:dyDescent="0.25">
      <c r="A42" s="205">
        <v>225021</v>
      </c>
      <c r="B42" s="206"/>
      <c r="C42" s="207" t="s">
        <v>453</v>
      </c>
      <c r="D42" s="206"/>
      <c r="E42" s="208">
        <v>3</v>
      </c>
      <c r="F42" s="206"/>
      <c r="G42" s="320"/>
      <c r="H42" s="206"/>
      <c r="I42" s="292">
        <f t="shared" si="1"/>
        <v>0</v>
      </c>
      <c r="J42" s="206"/>
      <c r="K42" s="210" t="s">
        <v>442</v>
      </c>
      <c r="L42" s="210" t="s">
        <v>443</v>
      </c>
    </row>
    <row r="43" spans="1:17" ht="15.75" customHeight="1" x14ac:dyDescent="0.25">
      <c r="A43" s="205">
        <v>225022</v>
      </c>
      <c r="B43" s="206"/>
      <c r="C43" s="207" t="s">
        <v>454</v>
      </c>
      <c r="D43" s="206"/>
      <c r="E43" s="208">
        <v>10</v>
      </c>
      <c r="F43" s="206"/>
      <c r="G43" s="320"/>
      <c r="H43" s="206"/>
      <c r="I43" s="292">
        <f t="shared" si="1"/>
        <v>0</v>
      </c>
      <c r="J43" s="206"/>
      <c r="K43" s="210" t="s">
        <v>442</v>
      </c>
      <c r="L43" s="210" t="s">
        <v>443</v>
      </c>
    </row>
    <row r="44" spans="1:17" ht="15.75" customHeight="1" x14ac:dyDescent="0.25">
      <c r="A44" s="205">
        <v>225023</v>
      </c>
      <c r="B44" s="206"/>
      <c r="C44" s="207" t="s">
        <v>455</v>
      </c>
      <c r="D44" s="206"/>
      <c r="E44" s="208">
        <v>10</v>
      </c>
      <c r="F44" s="206"/>
      <c r="G44" s="320"/>
      <c r="H44" s="206"/>
      <c r="I44" s="292">
        <f t="shared" si="1"/>
        <v>0</v>
      </c>
      <c r="J44" s="206"/>
      <c r="K44" s="210" t="s">
        <v>442</v>
      </c>
      <c r="L44" s="210" t="s">
        <v>443</v>
      </c>
    </row>
    <row r="45" spans="1:17" ht="15.75" customHeight="1" x14ac:dyDescent="0.25">
      <c r="A45" s="205">
        <v>225024</v>
      </c>
      <c r="B45" s="206"/>
      <c r="C45" s="207" t="s">
        <v>456</v>
      </c>
      <c r="D45" s="206"/>
      <c r="E45" s="208">
        <v>10</v>
      </c>
      <c r="F45" s="206"/>
      <c r="G45" s="320"/>
      <c r="H45" s="206"/>
      <c r="I45" s="292">
        <f t="shared" si="1"/>
        <v>0</v>
      </c>
      <c r="J45" s="206"/>
      <c r="K45" s="210" t="s">
        <v>442</v>
      </c>
      <c r="L45" s="210" t="s">
        <v>443</v>
      </c>
    </row>
    <row r="46" spans="1:17" ht="15.75" customHeight="1" x14ac:dyDescent="0.25">
      <c r="A46" s="205">
        <v>225025</v>
      </c>
      <c r="B46" s="206"/>
      <c r="C46" s="207" t="s">
        <v>988</v>
      </c>
      <c r="D46" s="206"/>
      <c r="E46" s="208">
        <v>6</v>
      </c>
      <c r="F46" s="206"/>
      <c r="G46" s="320"/>
      <c r="H46" s="206"/>
      <c r="I46" s="292">
        <f t="shared" si="1"/>
        <v>0</v>
      </c>
      <c r="J46" s="206"/>
      <c r="K46" s="210" t="s">
        <v>442</v>
      </c>
      <c r="L46" s="210" t="s">
        <v>443</v>
      </c>
    </row>
    <row r="47" spans="1:17" ht="15.75" customHeight="1" x14ac:dyDescent="0.25">
      <c r="A47" s="205">
        <v>225026</v>
      </c>
      <c r="B47" s="206"/>
      <c r="C47" s="207" t="s">
        <v>457</v>
      </c>
      <c r="D47" s="206"/>
      <c r="E47" s="208">
        <v>1</v>
      </c>
      <c r="F47" s="206"/>
      <c r="G47" s="320"/>
      <c r="H47" s="206"/>
      <c r="I47" s="292">
        <f t="shared" si="1"/>
        <v>0</v>
      </c>
      <c r="J47" s="206"/>
      <c r="K47" s="210" t="s">
        <v>442</v>
      </c>
      <c r="L47" s="210" t="s">
        <v>443</v>
      </c>
    </row>
    <row r="48" spans="1:17" ht="15.75" customHeight="1" x14ac:dyDescent="0.25">
      <c r="A48" s="205"/>
      <c r="B48" s="206"/>
      <c r="C48" s="207"/>
      <c r="D48" s="206"/>
      <c r="E48" s="208"/>
      <c r="F48" s="206"/>
      <c r="G48" s="320"/>
      <c r="H48" s="206"/>
      <c r="I48" s="292"/>
      <c r="J48" s="206"/>
      <c r="K48" s="210"/>
      <c r="L48" s="210"/>
    </row>
    <row r="49" spans="1:12" ht="15.75" customHeight="1" x14ac:dyDescent="0.25">
      <c r="A49" s="205"/>
      <c r="B49" s="206"/>
      <c r="C49" s="207"/>
      <c r="D49" s="206"/>
      <c r="E49" s="208"/>
      <c r="F49" s="206"/>
      <c r="G49" s="320"/>
      <c r="H49" s="206"/>
      <c r="I49" s="292">
        <f>E49*G49</f>
        <v>0</v>
      </c>
      <c r="J49" s="206"/>
      <c r="K49" s="210"/>
      <c r="L49" s="210"/>
    </row>
    <row r="50" spans="1:12" ht="15.75" customHeight="1" x14ac:dyDescent="0.25">
      <c r="A50" s="205"/>
      <c r="B50" s="206"/>
      <c r="C50" s="291" t="s">
        <v>989</v>
      </c>
      <c r="D50" s="206"/>
      <c r="E50" s="208"/>
      <c r="F50" s="206"/>
      <c r="G50" s="320"/>
      <c r="H50" s="206"/>
      <c r="I50" s="292"/>
      <c r="J50" s="206"/>
      <c r="K50" s="210"/>
      <c r="L50" s="210"/>
    </row>
    <row r="51" spans="1:12" ht="15.75" customHeight="1" x14ac:dyDescent="0.25">
      <c r="A51" s="205"/>
      <c r="B51" s="206"/>
      <c r="C51" s="207"/>
      <c r="D51" s="206"/>
      <c r="E51" s="208"/>
      <c r="F51" s="206"/>
      <c r="G51" s="320"/>
      <c r="H51" s="206"/>
      <c r="I51" s="292"/>
      <c r="J51" s="206"/>
      <c r="K51" s="210"/>
      <c r="L51" s="210"/>
    </row>
    <row r="52" spans="1:12" ht="15.75" customHeight="1" x14ac:dyDescent="0.25">
      <c r="A52" s="205">
        <v>225027</v>
      </c>
      <c r="B52" s="206"/>
      <c r="C52" s="207" t="s">
        <v>990</v>
      </c>
      <c r="D52" s="206"/>
      <c r="E52" s="208">
        <v>1</v>
      </c>
      <c r="F52" s="206"/>
      <c r="G52" s="320"/>
      <c r="H52" s="206"/>
      <c r="I52" s="292">
        <f t="shared" ref="I52:I64" si="2">E52*G52</f>
        <v>0</v>
      </c>
      <c r="J52" s="206"/>
      <c r="K52" s="210" t="s">
        <v>442</v>
      </c>
      <c r="L52" s="210" t="s">
        <v>443</v>
      </c>
    </row>
    <row r="53" spans="1:12" ht="15.75" customHeight="1" x14ac:dyDescent="0.25">
      <c r="A53" s="205">
        <v>225028</v>
      </c>
      <c r="B53" s="206"/>
      <c r="C53" s="207" t="s">
        <v>991</v>
      </c>
      <c r="D53" s="206"/>
      <c r="E53" s="208">
        <v>1</v>
      </c>
      <c r="F53" s="206"/>
      <c r="G53" s="320"/>
      <c r="H53" s="206"/>
      <c r="I53" s="292">
        <f t="shared" si="2"/>
        <v>0</v>
      </c>
      <c r="J53" s="206"/>
      <c r="K53" s="210" t="s">
        <v>442</v>
      </c>
      <c r="L53" s="210" t="s">
        <v>443</v>
      </c>
    </row>
    <row r="54" spans="1:12" ht="15.75" customHeight="1" x14ac:dyDescent="0.25">
      <c r="A54" s="205">
        <v>225029</v>
      </c>
      <c r="B54" s="206"/>
      <c r="C54" s="207" t="s">
        <v>992</v>
      </c>
      <c r="D54" s="206"/>
      <c r="E54" s="208">
        <v>1</v>
      </c>
      <c r="F54" s="206"/>
      <c r="G54" s="320"/>
      <c r="H54" s="206"/>
      <c r="I54" s="292">
        <f t="shared" si="2"/>
        <v>0</v>
      </c>
      <c r="J54" s="206"/>
      <c r="K54" s="210" t="s">
        <v>442</v>
      </c>
      <c r="L54" s="210" t="s">
        <v>443</v>
      </c>
    </row>
    <row r="55" spans="1:12" ht="15.75" customHeight="1" x14ac:dyDescent="0.25">
      <c r="A55" s="205">
        <v>225030</v>
      </c>
      <c r="B55" s="206"/>
      <c r="C55" s="207" t="s">
        <v>993</v>
      </c>
      <c r="D55" s="206"/>
      <c r="E55" s="208">
        <v>2</v>
      </c>
      <c r="F55" s="206"/>
      <c r="G55" s="320"/>
      <c r="H55" s="206"/>
      <c r="I55" s="292">
        <f t="shared" si="2"/>
        <v>0</v>
      </c>
      <c r="J55" s="206"/>
      <c r="K55" s="210" t="s">
        <v>442</v>
      </c>
      <c r="L55" s="210" t="s">
        <v>443</v>
      </c>
    </row>
    <row r="56" spans="1:12" ht="15.75" customHeight="1" x14ac:dyDescent="0.25">
      <c r="A56" s="205">
        <v>225031</v>
      </c>
      <c r="B56" s="206"/>
      <c r="C56" s="207" t="s">
        <v>994</v>
      </c>
      <c r="D56" s="206"/>
      <c r="E56" s="208">
        <v>1</v>
      </c>
      <c r="F56" s="206"/>
      <c r="G56" s="320"/>
      <c r="H56" s="206"/>
      <c r="I56" s="292">
        <f t="shared" si="2"/>
        <v>0</v>
      </c>
      <c r="J56" s="206"/>
      <c r="K56" s="210" t="s">
        <v>442</v>
      </c>
      <c r="L56" s="210" t="s">
        <v>443</v>
      </c>
    </row>
    <row r="57" spans="1:12" ht="15.75" customHeight="1" x14ac:dyDescent="0.25">
      <c r="A57" s="205">
        <v>225032</v>
      </c>
      <c r="B57" s="206"/>
      <c r="C57" s="207" t="s">
        <v>995</v>
      </c>
      <c r="D57" s="206"/>
      <c r="E57" s="208">
        <v>1</v>
      </c>
      <c r="F57" s="206"/>
      <c r="G57" s="320"/>
      <c r="H57" s="206"/>
      <c r="I57" s="292">
        <f t="shared" si="2"/>
        <v>0</v>
      </c>
      <c r="J57" s="206"/>
      <c r="K57" s="210" t="s">
        <v>442</v>
      </c>
      <c r="L57" s="210" t="s">
        <v>443</v>
      </c>
    </row>
    <row r="58" spans="1:12" ht="15.75" customHeight="1" x14ac:dyDescent="0.25">
      <c r="A58" s="205">
        <v>225033</v>
      </c>
      <c r="B58" s="206"/>
      <c r="C58" s="207" t="s">
        <v>451</v>
      </c>
      <c r="D58" s="206"/>
      <c r="E58" s="208">
        <v>3</v>
      </c>
      <c r="F58" s="206"/>
      <c r="G58" s="320"/>
      <c r="H58" s="206"/>
      <c r="I58" s="292">
        <f t="shared" si="2"/>
        <v>0</v>
      </c>
      <c r="J58" s="206"/>
      <c r="K58" s="210" t="s">
        <v>442</v>
      </c>
      <c r="L58" s="210" t="s">
        <v>443</v>
      </c>
    </row>
    <row r="59" spans="1:12" ht="15.75" customHeight="1" x14ac:dyDescent="0.25">
      <c r="A59" s="205">
        <v>225034</v>
      </c>
      <c r="B59" s="206"/>
      <c r="C59" s="207" t="s">
        <v>996</v>
      </c>
      <c r="D59" s="206"/>
      <c r="E59" s="208">
        <v>1</v>
      </c>
      <c r="F59" s="206"/>
      <c r="G59" s="320"/>
      <c r="H59" s="206"/>
      <c r="I59" s="292">
        <f t="shared" si="2"/>
        <v>0</v>
      </c>
      <c r="J59" s="206"/>
      <c r="K59" s="210" t="s">
        <v>442</v>
      </c>
      <c r="L59" s="210" t="s">
        <v>443</v>
      </c>
    </row>
    <row r="60" spans="1:12" ht="15.75" customHeight="1" x14ac:dyDescent="0.25">
      <c r="A60" s="205"/>
      <c r="B60" s="206"/>
      <c r="C60" s="207"/>
      <c r="D60" s="206"/>
      <c r="E60" s="208"/>
      <c r="F60" s="206"/>
      <c r="G60" s="320"/>
      <c r="H60" s="206"/>
      <c r="I60" s="292">
        <f t="shared" si="2"/>
        <v>0</v>
      </c>
      <c r="J60" s="206"/>
      <c r="K60" s="210"/>
      <c r="L60" s="210"/>
    </row>
    <row r="61" spans="1:12" ht="15.75" customHeight="1" x14ac:dyDescent="0.25">
      <c r="A61" s="205">
        <v>225035</v>
      </c>
      <c r="B61" s="206"/>
      <c r="C61" s="207" t="s">
        <v>450</v>
      </c>
      <c r="D61" s="206"/>
      <c r="E61" s="208">
        <v>80</v>
      </c>
      <c r="F61" s="206"/>
      <c r="G61" s="320"/>
      <c r="H61" s="206"/>
      <c r="I61" s="292">
        <f t="shared" si="2"/>
        <v>0</v>
      </c>
      <c r="J61" s="206"/>
      <c r="K61" s="210" t="s">
        <v>442</v>
      </c>
      <c r="L61" s="210" t="s">
        <v>443</v>
      </c>
    </row>
    <row r="62" spans="1:12" ht="15.75" customHeight="1" x14ac:dyDescent="0.25">
      <c r="A62" s="205">
        <v>225036</v>
      </c>
      <c r="B62" s="206"/>
      <c r="C62" s="207" t="s">
        <v>452</v>
      </c>
      <c r="D62" s="206"/>
      <c r="E62" s="208">
        <v>4</v>
      </c>
      <c r="F62" s="206"/>
      <c r="G62" s="320"/>
      <c r="H62" s="206"/>
      <c r="I62" s="292">
        <f t="shared" si="2"/>
        <v>0</v>
      </c>
      <c r="J62" s="206"/>
      <c r="K62" s="210" t="s">
        <v>442</v>
      </c>
      <c r="L62" s="210" t="s">
        <v>443</v>
      </c>
    </row>
    <row r="63" spans="1:12" ht="15.75" customHeight="1" x14ac:dyDescent="0.25">
      <c r="A63" s="205">
        <v>225037</v>
      </c>
      <c r="B63" s="206"/>
      <c r="C63" s="207" t="s">
        <v>983</v>
      </c>
      <c r="D63" s="206"/>
      <c r="E63" s="208">
        <v>10</v>
      </c>
      <c r="F63" s="206"/>
      <c r="G63" s="320"/>
      <c r="H63" s="206"/>
      <c r="I63" s="292">
        <f t="shared" si="2"/>
        <v>0</v>
      </c>
      <c r="J63" s="206"/>
      <c r="K63" s="210" t="s">
        <v>442</v>
      </c>
      <c r="L63" s="210" t="s">
        <v>443</v>
      </c>
    </row>
    <row r="64" spans="1:12" ht="15.75" customHeight="1" x14ac:dyDescent="0.25">
      <c r="A64" s="205">
        <v>225038</v>
      </c>
      <c r="B64" s="206"/>
      <c r="C64" s="207" t="s">
        <v>457</v>
      </c>
      <c r="D64" s="206"/>
      <c r="E64" s="208">
        <v>1</v>
      </c>
      <c r="F64" s="206"/>
      <c r="G64" s="320"/>
      <c r="H64" s="206"/>
      <c r="I64" s="292">
        <f t="shared" si="2"/>
        <v>0</v>
      </c>
      <c r="J64" s="206"/>
      <c r="K64" s="210" t="s">
        <v>442</v>
      </c>
      <c r="L64" s="210" t="s">
        <v>443</v>
      </c>
    </row>
    <row r="65" spans="1:12" ht="15.75" customHeight="1" x14ac:dyDescent="0.25">
      <c r="A65" s="205"/>
      <c r="B65" s="206"/>
      <c r="C65" s="207"/>
      <c r="D65" s="206"/>
      <c r="E65" s="208"/>
      <c r="F65" s="206"/>
      <c r="G65" s="320"/>
      <c r="H65" s="206"/>
      <c r="I65" s="292"/>
      <c r="J65" s="206"/>
      <c r="K65" s="210"/>
      <c r="L65" s="210"/>
    </row>
    <row r="66" spans="1:12" ht="15.75" customHeight="1" x14ac:dyDescent="0.25">
      <c r="A66" s="205"/>
      <c r="B66" s="206"/>
      <c r="C66" s="207"/>
      <c r="D66" s="206"/>
      <c r="E66" s="208"/>
      <c r="F66" s="206"/>
      <c r="G66" s="320"/>
      <c r="H66" s="206"/>
      <c r="I66" s="292"/>
      <c r="J66" s="206"/>
      <c r="K66" s="210"/>
      <c r="L66" s="210"/>
    </row>
    <row r="67" spans="1:12" ht="15.75" customHeight="1" x14ac:dyDescent="0.25">
      <c r="A67" s="205"/>
      <c r="B67" s="206"/>
      <c r="C67" s="291" t="s">
        <v>997</v>
      </c>
      <c r="D67" s="206"/>
      <c r="E67" s="208"/>
      <c r="F67" s="206"/>
      <c r="G67" s="320"/>
      <c r="H67" s="206"/>
      <c r="I67" s="292"/>
      <c r="J67" s="206"/>
      <c r="K67" s="210"/>
      <c r="L67" s="210"/>
    </row>
    <row r="68" spans="1:12" ht="15.75" customHeight="1" x14ac:dyDescent="0.25">
      <c r="A68" s="205"/>
      <c r="B68" s="206"/>
      <c r="C68" s="207"/>
      <c r="D68" s="206"/>
      <c r="E68" s="208"/>
      <c r="F68" s="206"/>
      <c r="G68" s="320"/>
      <c r="H68" s="206"/>
      <c r="I68" s="292"/>
      <c r="J68" s="206"/>
      <c r="K68" s="210"/>
      <c r="L68" s="210"/>
    </row>
    <row r="69" spans="1:12" ht="15.75" customHeight="1" x14ac:dyDescent="0.25">
      <c r="A69" s="205">
        <v>225039</v>
      </c>
      <c r="B69" s="206"/>
      <c r="C69" s="207" t="s">
        <v>998</v>
      </c>
      <c r="D69" s="206"/>
      <c r="E69" s="208">
        <v>1</v>
      </c>
      <c r="F69" s="206"/>
      <c r="G69" s="320"/>
      <c r="H69" s="206"/>
      <c r="I69" s="292">
        <f>E69*G69</f>
        <v>0</v>
      </c>
      <c r="J69" s="206"/>
      <c r="K69" s="210" t="s">
        <v>442</v>
      </c>
      <c r="L69" s="210" t="s">
        <v>443</v>
      </c>
    </row>
    <row r="70" spans="1:12" ht="15.75" customHeight="1" x14ac:dyDescent="0.25">
      <c r="A70" s="205">
        <v>225040</v>
      </c>
      <c r="B70" s="206"/>
      <c r="C70" s="207" t="s">
        <v>999</v>
      </c>
      <c r="D70" s="206"/>
      <c r="E70" s="208">
        <v>1</v>
      </c>
      <c r="F70" s="206"/>
      <c r="G70" s="320"/>
      <c r="H70" s="206"/>
      <c r="I70" s="292">
        <f>E70*G70</f>
        <v>0</v>
      </c>
      <c r="J70" s="206"/>
      <c r="K70" s="210" t="s">
        <v>442</v>
      </c>
      <c r="L70" s="210" t="s">
        <v>443</v>
      </c>
    </row>
    <row r="71" spans="1:12" ht="15.75" customHeight="1" x14ac:dyDescent="0.25">
      <c r="A71" s="205">
        <v>225041</v>
      </c>
      <c r="B71" s="206"/>
      <c r="C71" s="207" t="s">
        <v>1000</v>
      </c>
      <c r="D71" s="206"/>
      <c r="E71" s="208">
        <v>1</v>
      </c>
      <c r="F71" s="206"/>
      <c r="G71" s="320"/>
      <c r="H71" s="206"/>
      <c r="I71" s="292">
        <f>E71*G71</f>
        <v>0</v>
      </c>
      <c r="J71" s="206"/>
      <c r="K71" s="210" t="s">
        <v>442</v>
      </c>
      <c r="L71" s="210" t="s">
        <v>443</v>
      </c>
    </row>
    <row r="72" spans="1:12" ht="15.75" customHeight="1" x14ac:dyDescent="0.25">
      <c r="A72" s="205"/>
      <c r="B72" s="206"/>
      <c r="C72" s="207"/>
      <c r="D72" s="206"/>
      <c r="E72" s="208"/>
      <c r="F72" s="206"/>
      <c r="G72" s="320"/>
      <c r="H72" s="206"/>
      <c r="I72" s="292"/>
      <c r="J72" s="206"/>
      <c r="K72" s="210"/>
      <c r="L72" s="210"/>
    </row>
    <row r="73" spans="1:12" ht="15.75" customHeight="1" x14ac:dyDescent="0.25">
      <c r="A73" s="205">
        <v>225042</v>
      </c>
      <c r="B73" s="206"/>
      <c r="C73" s="207" t="s">
        <v>1001</v>
      </c>
      <c r="D73" s="206"/>
      <c r="E73" s="208">
        <v>30</v>
      </c>
      <c r="F73" s="206"/>
      <c r="G73" s="320"/>
      <c r="H73" s="206"/>
      <c r="I73" s="292">
        <f>E73*G73</f>
        <v>0</v>
      </c>
      <c r="J73" s="206"/>
      <c r="K73" s="210" t="s">
        <v>442</v>
      </c>
      <c r="L73" s="210" t="s">
        <v>443</v>
      </c>
    </row>
    <row r="74" spans="1:12" ht="15.75" customHeight="1" x14ac:dyDescent="0.25">
      <c r="A74" s="205">
        <v>225043</v>
      </c>
      <c r="B74" s="206"/>
      <c r="C74" s="207" t="s">
        <v>1002</v>
      </c>
      <c r="D74" s="206"/>
      <c r="E74" s="208">
        <v>1</v>
      </c>
      <c r="F74" s="206"/>
      <c r="G74" s="320"/>
      <c r="H74" s="206"/>
      <c r="I74" s="292">
        <f>E74*G74</f>
        <v>0</v>
      </c>
      <c r="J74" s="206"/>
      <c r="K74" s="210" t="s">
        <v>442</v>
      </c>
      <c r="L74" s="210" t="s">
        <v>443</v>
      </c>
    </row>
    <row r="75" spans="1:12" ht="15.75" customHeight="1" x14ac:dyDescent="0.25">
      <c r="A75" s="205">
        <v>225044</v>
      </c>
      <c r="B75" s="206"/>
      <c r="C75" s="207" t="s">
        <v>454</v>
      </c>
      <c r="D75" s="206"/>
      <c r="E75" s="208">
        <v>3</v>
      </c>
      <c r="F75" s="206"/>
      <c r="G75" s="320"/>
      <c r="H75" s="206"/>
      <c r="I75" s="292">
        <f>E75*G75</f>
        <v>0</v>
      </c>
      <c r="J75" s="206"/>
      <c r="K75" s="210" t="s">
        <v>442</v>
      </c>
      <c r="L75" s="210" t="s">
        <v>443</v>
      </c>
    </row>
    <row r="76" spans="1:12" ht="15.75" customHeight="1" x14ac:dyDescent="0.25">
      <c r="A76" s="205">
        <v>225045</v>
      </c>
      <c r="B76" s="206"/>
      <c r="C76" s="207" t="s">
        <v>457</v>
      </c>
      <c r="D76" s="206"/>
      <c r="E76" s="208">
        <v>1</v>
      </c>
      <c r="F76" s="206"/>
      <c r="G76" s="320"/>
      <c r="H76" s="206"/>
      <c r="I76" s="292">
        <f>E76*G76</f>
        <v>0</v>
      </c>
      <c r="J76" s="206"/>
      <c r="K76" s="210" t="s">
        <v>442</v>
      </c>
      <c r="L76" s="210" t="s">
        <v>443</v>
      </c>
    </row>
    <row r="77" spans="1:12" ht="15.75" customHeight="1" x14ac:dyDescent="0.25">
      <c r="A77" s="205"/>
      <c r="B77" s="206"/>
      <c r="C77" s="207"/>
      <c r="D77" s="206"/>
      <c r="E77" s="208"/>
      <c r="F77" s="206"/>
      <c r="G77" s="320"/>
      <c r="H77" s="206"/>
      <c r="I77" s="292"/>
      <c r="J77" s="206"/>
      <c r="K77" s="210"/>
      <c r="L77" s="210"/>
    </row>
    <row r="78" spans="1:12" ht="15.75" customHeight="1" x14ac:dyDescent="0.25">
      <c r="A78" s="205"/>
      <c r="B78" s="206"/>
      <c r="C78" s="207"/>
      <c r="D78" s="206"/>
      <c r="E78" s="208"/>
      <c r="F78" s="206"/>
      <c r="G78" s="320"/>
      <c r="H78" s="206"/>
      <c r="I78" s="292"/>
      <c r="J78" s="206"/>
      <c r="K78" s="210"/>
      <c r="L78" s="210"/>
    </row>
    <row r="79" spans="1:12" ht="15.75" customHeight="1" x14ac:dyDescent="0.25">
      <c r="A79" s="205"/>
      <c r="B79" s="206"/>
      <c r="C79" s="291" t="s">
        <v>1003</v>
      </c>
      <c r="D79" s="206"/>
      <c r="E79" s="208"/>
      <c r="F79" s="206"/>
      <c r="G79" s="320"/>
      <c r="H79" s="206"/>
      <c r="I79" s="292"/>
      <c r="J79" s="206"/>
      <c r="K79" s="210"/>
      <c r="L79" s="210"/>
    </row>
    <row r="80" spans="1:12" ht="15.75" customHeight="1" x14ac:dyDescent="0.25">
      <c r="A80" s="205"/>
      <c r="B80" s="206"/>
      <c r="C80" s="207"/>
      <c r="D80" s="206"/>
      <c r="E80" s="208"/>
      <c r="F80" s="206"/>
      <c r="G80" s="320"/>
      <c r="H80" s="206"/>
      <c r="I80" s="292"/>
      <c r="J80" s="206"/>
      <c r="K80" s="210"/>
      <c r="L80" s="210"/>
    </row>
    <row r="81" spans="1:17" ht="173.25" customHeight="1" x14ac:dyDescent="0.25">
      <c r="A81" s="205">
        <v>225046</v>
      </c>
      <c r="B81" s="206"/>
      <c r="C81" s="211" t="s">
        <v>1004</v>
      </c>
      <c r="D81" s="206"/>
      <c r="E81" s="208">
        <v>1</v>
      </c>
      <c r="F81" s="206"/>
      <c r="G81" s="320"/>
      <c r="H81" s="206"/>
      <c r="I81" s="292">
        <f>E81*G81</f>
        <v>0</v>
      </c>
      <c r="J81" s="206"/>
      <c r="K81" s="210" t="s">
        <v>442</v>
      </c>
      <c r="L81" s="210" t="s">
        <v>443</v>
      </c>
    </row>
    <row r="82" spans="1:17" ht="15.75" customHeight="1" x14ac:dyDescent="0.25">
      <c r="A82" s="205"/>
      <c r="B82" s="206"/>
      <c r="C82" s="207"/>
      <c r="D82" s="206"/>
      <c r="E82" s="208"/>
      <c r="F82" s="206"/>
      <c r="G82" s="320"/>
      <c r="H82" s="206"/>
      <c r="I82" s="292"/>
      <c r="J82" s="206"/>
      <c r="K82" s="210"/>
      <c r="L82" s="210"/>
    </row>
    <row r="83" spans="1:17" ht="15.75" customHeight="1" x14ac:dyDescent="0.25">
      <c r="A83" s="205"/>
      <c r="B83" s="206"/>
      <c r="C83" s="207"/>
      <c r="D83" s="206"/>
      <c r="E83" s="208"/>
      <c r="F83" s="206"/>
      <c r="G83" s="320"/>
      <c r="H83" s="206"/>
      <c r="I83" s="292"/>
      <c r="J83" s="206"/>
      <c r="K83" s="210"/>
      <c r="L83" s="210"/>
    </row>
    <row r="84" spans="1:17" ht="15.75" customHeight="1" x14ac:dyDescent="0.25">
      <c r="A84" s="205"/>
      <c r="B84" s="206"/>
      <c r="C84" s="207"/>
      <c r="D84" s="206"/>
      <c r="E84" s="208"/>
      <c r="F84" s="206"/>
      <c r="G84" s="320"/>
      <c r="H84" s="206"/>
      <c r="I84" s="292"/>
      <c r="J84" s="206"/>
      <c r="K84" s="210"/>
      <c r="L84" s="210"/>
    </row>
    <row r="85" spans="1:17" ht="15.75" customHeight="1" x14ac:dyDescent="0.25">
      <c r="A85" s="205"/>
      <c r="B85" s="206"/>
      <c r="C85" s="207"/>
      <c r="D85" s="206"/>
      <c r="E85" s="208"/>
      <c r="F85" s="206"/>
      <c r="G85" s="320"/>
      <c r="H85" s="206"/>
      <c r="I85" s="292"/>
      <c r="J85" s="206"/>
      <c r="K85" s="210"/>
      <c r="L85" s="210"/>
    </row>
    <row r="86" spans="1:17" ht="15.75" customHeight="1" x14ac:dyDescent="0.25">
      <c r="A86" s="205"/>
      <c r="B86" s="206"/>
      <c r="C86" s="207"/>
      <c r="D86" s="206"/>
      <c r="E86" s="208"/>
      <c r="F86" s="206"/>
      <c r="G86" s="320"/>
      <c r="H86" s="206"/>
      <c r="I86" s="292">
        <f>E86*G86</f>
        <v>0</v>
      </c>
      <c r="J86" s="206"/>
      <c r="K86" s="210"/>
      <c r="L86" s="210"/>
    </row>
    <row r="87" spans="1:17" ht="15.75" customHeight="1" x14ac:dyDescent="0.25">
      <c r="A87" s="205"/>
      <c r="B87" s="206"/>
      <c r="C87" s="203" t="s">
        <v>458</v>
      </c>
      <c r="D87" s="206"/>
      <c r="E87" s="208"/>
      <c r="F87" s="206"/>
      <c r="G87" s="320"/>
      <c r="H87" s="206"/>
      <c r="I87" s="292"/>
      <c r="J87" s="206"/>
      <c r="K87" s="210"/>
      <c r="L87" s="210"/>
    </row>
    <row r="88" spans="1:17" ht="15.75" customHeight="1" x14ac:dyDescent="0.25">
      <c r="A88" s="205"/>
      <c r="B88" s="206"/>
      <c r="C88" s="207"/>
      <c r="D88" s="206"/>
      <c r="E88" s="208"/>
      <c r="F88" s="206"/>
      <c r="G88" s="320"/>
      <c r="H88" s="206"/>
      <c r="I88" s="292"/>
      <c r="J88" s="206"/>
      <c r="K88" s="210"/>
      <c r="L88" s="210"/>
    </row>
    <row r="89" spans="1:17" ht="15.75" customHeight="1" x14ac:dyDescent="0.25">
      <c r="A89" s="205"/>
      <c r="B89" s="206"/>
      <c r="C89" s="291" t="s">
        <v>980</v>
      </c>
      <c r="D89" s="206"/>
      <c r="E89" s="208"/>
      <c r="F89" s="206"/>
      <c r="G89" s="320"/>
      <c r="H89" s="206"/>
      <c r="I89" s="292"/>
      <c r="J89" s="206"/>
      <c r="K89" s="210"/>
      <c r="L89" s="210"/>
    </row>
    <row r="90" spans="1:17" ht="15.75" customHeight="1" x14ac:dyDescent="0.25">
      <c r="A90" s="205"/>
      <c r="B90" s="206"/>
      <c r="C90" s="207"/>
      <c r="D90" s="206"/>
      <c r="E90" s="208"/>
      <c r="F90" s="206"/>
      <c r="G90" s="320"/>
      <c r="H90" s="206"/>
      <c r="I90" s="292"/>
      <c r="J90" s="206"/>
      <c r="K90" s="210"/>
      <c r="L90" s="210"/>
    </row>
    <row r="91" spans="1:17" ht="15.75" customHeight="1" x14ac:dyDescent="0.25">
      <c r="A91" s="205">
        <v>225047</v>
      </c>
      <c r="B91" s="206"/>
      <c r="C91" s="207" t="s">
        <v>459</v>
      </c>
      <c r="D91" s="206"/>
      <c r="E91" s="208">
        <v>1</v>
      </c>
      <c r="F91" s="206"/>
      <c r="G91" s="320"/>
      <c r="H91" s="206"/>
      <c r="I91" s="292">
        <f t="shared" ref="I91:I105" si="3">E91*G91</f>
        <v>0</v>
      </c>
      <c r="J91" s="206"/>
      <c r="K91" s="210" t="s">
        <v>442</v>
      </c>
      <c r="L91" s="210" t="s">
        <v>443</v>
      </c>
    </row>
    <row r="92" spans="1:17" ht="15.75" customHeight="1" x14ac:dyDescent="0.3">
      <c r="A92" s="205">
        <v>225048</v>
      </c>
      <c r="B92" s="206"/>
      <c r="C92" s="207" t="s">
        <v>1005</v>
      </c>
      <c r="D92" s="226"/>
      <c r="E92" s="208">
        <v>1</v>
      </c>
      <c r="F92" s="206"/>
      <c r="G92" s="320"/>
      <c r="H92" s="206"/>
      <c r="I92" s="292">
        <f t="shared" si="3"/>
        <v>0</v>
      </c>
      <c r="J92" s="206"/>
      <c r="K92" s="210" t="s">
        <v>442</v>
      </c>
      <c r="L92" s="210" t="s">
        <v>443</v>
      </c>
    </row>
    <row r="93" spans="1:17" ht="15.75" customHeight="1" x14ac:dyDescent="0.3">
      <c r="A93" s="205">
        <v>225049</v>
      </c>
      <c r="B93" s="206"/>
      <c r="C93" s="207" t="s">
        <v>1006</v>
      </c>
      <c r="D93" s="226"/>
      <c r="E93" s="208">
        <v>1</v>
      </c>
      <c r="F93" s="206"/>
      <c r="G93" s="320"/>
      <c r="H93" s="206"/>
      <c r="I93" s="292">
        <f t="shared" si="3"/>
        <v>0</v>
      </c>
      <c r="J93" s="206"/>
      <c r="K93" s="210" t="s">
        <v>442</v>
      </c>
      <c r="L93" s="210" t="s">
        <v>443</v>
      </c>
      <c r="N93" s="293"/>
      <c r="O93" s="457"/>
      <c r="P93" s="457"/>
      <c r="Q93" s="457"/>
    </row>
    <row r="94" spans="1:17" ht="15.75" customHeight="1" x14ac:dyDescent="0.3">
      <c r="A94" s="205">
        <v>225050</v>
      </c>
      <c r="B94" s="206"/>
      <c r="C94" s="207" t="s">
        <v>482</v>
      </c>
      <c r="D94" s="226"/>
      <c r="E94" s="208">
        <v>5</v>
      </c>
      <c r="F94" s="206"/>
      <c r="G94" s="320"/>
      <c r="H94" s="206"/>
      <c r="I94" s="292">
        <f t="shared" si="3"/>
        <v>0</v>
      </c>
      <c r="J94" s="206"/>
      <c r="K94" s="210" t="s">
        <v>442</v>
      </c>
      <c r="L94" s="210" t="s">
        <v>443</v>
      </c>
    </row>
    <row r="95" spans="1:17" ht="15.75" customHeight="1" x14ac:dyDescent="0.3">
      <c r="A95" s="205">
        <v>225051</v>
      </c>
      <c r="B95" s="206"/>
      <c r="C95" s="207" t="s">
        <v>483</v>
      </c>
      <c r="D95" s="226"/>
      <c r="E95" s="208">
        <v>6</v>
      </c>
      <c r="F95" s="206"/>
      <c r="G95" s="320"/>
      <c r="H95" s="206"/>
      <c r="I95" s="292">
        <f t="shared" si="3"/>
        <v>0</v>
      </c>
      <c r="J95" s="206"/>
      <c r="K95" s="210" t="s">
        <v>442</v>
      </c>
      <c r="L95" s="210" t="s">
        <v>443</v>
      </c>
    </row>
    <row r="96" spans="1:17" ht="15.75" customHeight="1" x14ac:dyDescent="0.3">
      <c r="A96" s="205">
        <v>225052</v>
      </c>
      <c r="B96" s="206"/>
      <c r="C96" s="207" t="s">
        <v>1007</v>
      </c>
      <c r="D96" s="226"/>
      <c r="E96" s="208">
        <v>2</v>
      </c>
      <c r="F96" s="206"/>
      <c r="G96" s="320"/>
      <c r="H96" s="206"/>
      <c r="I96" s="292">
        <f t="shared" si="3"/>
        <v>0</v>
      </c>
      <c r="J96" s="206"/>
      <c r="K96" s="210" t="s">
        <v>442</v>
      </c>
      <c r="L96" s="210" t="s">
        <v>443</v>
      </c>
    </row>
    <row r="97" spans="1:12" ht="15.75" customHeight="1" x14ac:dyDescent="0.3">
      <c r="A97" s="205">
        <v>225053</v>
      </c>
      <c r="B97" s="206"/>
      <c r="C97" s="207" t="s">
        <v>1008</v>
      </c>
      <c r="D97" s="226"/>
      <c r="E97" s="208">
        <v>1</v>
      </c>
      <c r="F97" s="206"/>
      <c r="G97" s="320"/>
      <c r="H97" s="206"/>
      <c r="I97" s="292">
        <f t="shared" si="3"/>
        <v>0</v>
      </c>
      <c r="J97" s="206"/>
      <c r="K97" s="210" t="s">
        <v>442</v>
      </c>
      <c r="L97" s="210" t="s">
        <v>443</v>
      </c>
    </row>
    <row r="98" spans="1:12" ht="15.75" customHeight="1" x14ac:dyDescent="0.3">
      <c r="A98" s="205"/>
      <c r="B98" s="206"/>
      <c r="C98" s="207"/>
      <c r="D98" s="226"/>
      <c r="E98" s="208"/>
      <c r="F98" s="206"/>
      <c r="G98" s="320"/>
      <c r="H98" s="206"/>
      <c r="I98" s="292">
        <f t="shared" si="3"/>
        <v>0</v>
      </c>
      <c r="J98" s="206"/>
      <c r="K98" s="210"/>
      <c r="L98" s="210"/>
    </row>
    <row r="99" spans="1:12" ht="15.75" customHeight="1" x14ac:dyDescent="0.3">
      <c r="A99" s="205">
        <v>225054</v>
      </c>
      <c r="B99" s="206"/>
      <c r="C99" s="207" t="s">
        <v>487</v>
      </c>
      <c r="D99" s="226"/>
      <c r="E99" s="208">
        <v>20</v>
      </c>
      <c r="F99" s="206"/>
      <c r="G99" s="320"/>
      <c r="H99" s="206"/>
      <c r="I99" s="292">
        <f t="shared" si="3"/>
        <v>0</v>
      </c>
      <c r="J99" s="206"/>
      <c r="K99" s="210" t="s">
        <v>442</v>
      </c>
      <c r="L99" s="210" t="s">
        <v>443</v>
      </c>
    </row>
    <row r="100" spans="1:12" ht="15.75" customHeight="1" x14ac:dyDescent="0.3">
      <c r="A100" s="205">
        <v>225055</v>
      </c>
      <c r="B100" s="206"/>
      <c r="C100" s="207" t="s">
        <v>488</v>
      </c>
      <c r="D100" s="226"/>
      <c r="E100" s="208">
        <v>110</v>
      </c>
      <c r="F100" s="206"/>
      <c r="G100" s="320"/>
      <c r="H100" s="206"/>
      <c r="I100" s="292">
        <f t="shared" si="3"/>
        <v>0</v>
      </c>
      <c r="J100" s="206"/>
      <c r="K100" s="210" t="s">
        <v>442</v>
      </c>
      <c r="L100" s="210" t="s">
        <v>443</v>
      </c>
    </row>
    <row r="101" spans="1:12" ht="15.75" customHeight="1" x14ac:dyDescent="0.3">
      <c r="A101" s="205">
        <v>225056</v>
      </c>
      <c r="B101" s="206"/>
      <c r="C101" s="207" t="s">
        <v>466</v>
      </c>
      <c r="D101" s="226"/>
      <c r="E101" s="208">
        <v>7</v>
      </c>
      <c r="F101" s="206"/>
      <c r="G101" s="320"/>
      <c r="H101" s="206"/>
      <c r="I101" s="292">
        <f t="shared" si="3"/>
        <v>0</v>
      </c>
      <c r="J101" s="206"/>
      <c r="K101" s="210" t="s">
        <v>442</v>
      </c>
      <c r="L101" s="210" t="s">
        <v>443</v>
      </c>
    </row>
    <row r="102" spans="1:12" ht="15.75" customHeight="1" x14ac:dyDescent="0.3">
      <c r="A102" s="205">
        <v>225057</v>
      </c>
      <c r="B102" s="206"/>
      <c r="C102" s="207" t="s">
        <v>472</v>
      </c>
      <c r="D102" s="226"/>
      <c r="E102" s="208">
        <v>10</v>
      </c>
      <c r="F102" s="206"/>
      <c r="G102" s="320"/>
      <c r="H102" s="206"/>
      <c r="I102" s="292">
        <f t="shared" si="3"/>
        <v>0</v>
      </c>
      <c r="J102" s="206"/>
      <c r="K102" s="210" t="s">
        <v>442</v>
      </c>
      <c r="L102" s="210" t="s">
        <v>443</v>
      </c>
    </row>
    <row r="103" spans="1:12" ht="15.75" customHeight="1" x14ac:dyDescent="0.25">
      <c r="A103" s="205">
        <v>225058</v>
      </c>
      <c r="B103" s="206">
        <v>4</v>
      </c>
      <c r="C103" s="207" t="s">
        <v>470</v>
      </c>
      <c r="D103" s="206"/>
      <c r="E103" s="208">
        <v>5</v>
      </c>
      <c r="F103" s="206"/>
      <c r="G103" s="320"/>
      <c r="H103" s="206"/>
      <c r="I103" s="292">
        <f t="shared" si="3"/>
        <v>0</v>
      </c>
      <c r="J103" s="206"/>
      <c r="K103" s="210" t="s">
        <v>442</v>
      </c>
      <c r="L103" s="210" t="s">
        <v>443</v>
      </c>
    </row>
    <row r="104" spans="1:12" ht="15.75" customHeight="1" x14ac:dyDescent="0.25">
      <c r="A104" s="205">
        <v>225059</v>
      </c>
      <c r="B104" s="206"/>
      <c r="C104" s="207" t="s">
        <v>471</v>
      </c>
      <c r="D104" s="206"/>
      <c r="E104" s="208">
        <v>4</v>
      </c>
      <c r="F104" s="206"/>
      <c r="G104" s="320"/>
      <c r="H104" s="206"/>
      <c r="I104" s="292">
        <f t="shared" si="3"/>
        <v>0</v>
      </c>
      <c r="J104" s="206"/>
      <c r="K104" s="210" t="s">
        <v>442</v>
      </c>
      <c r="L104" s="210" t="s">
        <v>443</v>
      </c>
    </row>
    <row r="105" spans="1:12" ht="15.75" customHeight="1" x14ac:dyDescent="0.25">
      <c r="A105" s="205">
        <v>225060</v>
      </c>
      <c r="B105" s="206"/>
      <c r="C105" s="207" t="s">
        <v>489</v>
      </c>
      <c r="D105" s="206"/>
      <c r="E105" s="208">
        <v>1</v>
      </c>
      <c r="F105" s="206"/>
      <c r="G105" s="320"/>
      <c r="H105" s="206"/>
      <c r="I105" s="292">
        <f t="shared" si="3"/>
        <v>0</v>
      </c>
      <c r="J105" s="206"/>
      <c r="K105" s="210" t="s">
        <v>442</v>
      </c>
      <c r="L105" s="210" t="s">
        <v>443</v>
      </c>
    </row>
    <row r="106" spans="1:12" ht="15.75" customHeight="1" x14ac:dyDescent="0.25">
      <c r="A106" s="205"/>
      <c r="B106" s="206"/>
      <c r="C106" s="207"/>
      <c r="D106" s="206"/>
      <c r="E106" s="208"/>
      <c r="F106" s="206"/>
      <c r="G106" s="320"/>
      <c r="H106" s="206"/>
      <c r="I106" s="292"/>
      <c r="J106" s="206"/>
      <c r="K106" s="210"/>
      <c r="L106" s="210"/>
    </row>
    <row r="107" spans="1:12" ht="15.75" customHeight="1" x14ac:dyDescent="0.25">
      <c r="A107" s="205"/>
      <c r="B107" s="206"/>
      <c r="C107" s="207"/>
      <c r="D107" s="206"/>
      <c r="E107" s="208"/>
      <c r="F107" s="206"/>
      <c r="G107" s="320"/>
      <c r="H107" s="206"/>
      <c r="I107" s="292"/>
      <c r="J107" s="206"/>
      <c r="K107" s="210"/>
      <c r="L107" s="210"/>
    </row>
    <row r="108" spans="1:12" ht="15.75" customHeight="1" x14ac:dyDescent="0.25">
      <c r="A108" s="205"/>
      <c r="B108" s="206"/>
      <c r="C108" s="291" t="s">
        <v>984</v>
      </c>
      <c r="D108" s="206"/>
      <c r="E108" s="208"/>
      <c r="F108" s="206"/>
      <c r="G108" s="320"/>
      <c r="H108" s="206"/>
      <c r="I108" s="292"/>
      <c r="J108" s="206"/>
      <c r="K108" s="210"/>
      <c r="L108" s="210"/>
    </row>
    <row r="109" spans="1:12" ht="15.75" customHeight="1" x14ac:dyDescent="0.25">
      <c r="A109" s="205"/>
      <c r="B109" s="206"/>
      <c r="C109" s="207"/>
      <c r="D109" s="206"/>
      <c r="E109" s="208"/>
      <c r="F109" s="206"/>
      <c r="G109" s="320"/>
      <c r="H109" s="206"/>
      <c r="I109" s="292"/>
      <c r="J109" s="206"/>
      <c r="K109" s="210"/>
      <c r="L109" s="210"/>
    </row>
    <row r="110" spans="1:12" ht="15.75" customHeight="1" x14ac:dyDescent="0.25">
      <c r="A110" s="205">
        <v>225061</v>
      </c>
      <c r="B110" s="206"/>
      <c r="C110" s="207" t="s">
        <v>459</v>
      </c>
      <c r="D110" s="206"/>
      <c r="E110" s="208">
        <v>1</v>
      </c>
      <c r="F110" s="206"/>
      <c r="G110" s="320"/>
      <c r="H110" s="206"/>
      <c r="I110" s="292">
        <f t="shared" ref="I110:I127" si="4">E110*G110</f>
        <v>0</v>
      </c>
      <c r="J110" s="206"/>
      <c r="K110" s="210" t="s">
        <v>460</v>
      </c>
      <c r="L110" s="210" t="s">
        <v>443</v>
      </c>
    </row>
    <row r="111" spans="1:12" ht="15.75" customHeight="1" x14ac:dyDescent="0.25">
      <c r="A111" s="205">
        <v>225062</v>
      </c>
      <c r="B111" s="206"/>
      <c r="C111" s="207" t="s">
        <v>1009</v>
      </c>
      <c r="D111" s="206"/>
      <c r="E111" s="208">
        <v>1</v>
      </c>
      <c r="F111" s="206"/>
      <c r="G111" s="320"/>
      <c r="H111" s="206"/>
      <c r="I111" s="292">
        <f t="shared" si="4"/>
        <v>0</v>
      </c>
      <c r="J111" s="206"/>
      <c r="K111" s="210" t="s">
        <v>460</v>
      </c>
      <c r="L111" s="210" t="s">
        <v>443</v>
      </c>
    </row>
    <row r="112" spans="1:12" ht="15.75" customHeight="1" x14ac:dyDescent="0.25">
      <c r="A112" s="205">
        <v>225063</v>
      </c>
      <c r="B112" s="206"/>
      <c r="C112" s="207" t="s">
        <v>461</v>
      </c>
      <c r="D112" s="206"/>
      <c r="E112" s="208">
        <v>1</v>
      </c>
      <c r="F112" s="206"/>
      <c r="G112" s="320"/>
      <c r="H112" s="206"/>
      <c r="I112" s="292">
        <f t="shared" si="4"/>
        <v>0</v>
      </c>
      <c r="J112" s="206"/>
      <c r="K112" s="210" t="s">
        <v>460</v>
      </c>
      <c r="L112" s="210" t="s">
        <v>443</v>
      </c>
    </row>
    <row r="113" spans="1:14" ht="15.75" customHeight="1" x14ac:dyDescent="0.25">
      <c r="A113" s="205">
        <v>225064</v>
      </c>
      <c r="B113" s="206"/>
      <c r="C113" s="207" t="s">
        <v>445</v>
      </c>
      <c r="D113" s="206"/>
      <c r="E113" s="208">
        <v>2</v>
      </c>
      <c r="F113" s="206"/>
      <c r="G113" s="320"/>
      <c r="H113" s="206"/>
      <c r="I113" s="292">
        <f t="shared" si="4"/>
        <v>0</v>
      </c>
      <c r="J113" s="206"/>
      <c r="K113" s="210" t="s">
        <v>460</v>
      </c>
      <c r="L113" s="210" t="s">
        <v>443</v>
      </c>
    </row>
    <row r="114" spans="1:14" ht="15.75" customHeight="1" x14ac:dyDescent="0.25">
      <c r="A114" s="205">
        <v>225065</v>
      </c>
      <c r="B114" s="206"/>
      <c r="C114" s="207" t="s">
        <v>462</v>
      </c>
      <c r="D114" s="206"/>
      <c r="E114" s="208">
        <v>1</v>
      </c>
      <c r="F114" s="206"/>
      <c r="G114" s="320"/>
      <c r="H114" s="206"/>
      <c r="I114" s="292">
        <f t="shared" si="4"/>
        <v>0</v>
      </c>
      <c r="J114" s="206"/>
      <c r="K114" s="210" t="s">
        <v>460</v>
      </c>
      <c r="L114" s="210" t="s">
        <v>443</v>
      </c>
    </row>
    <row r="115" spans="1:14" ht="15.75" customHeight="1" x14ac:dyDescent="0.25">
      <c r="A115" s="205">
        <v>225066</v>
      </c>
      <c r="B115" s="206"/>
      <c r="C115" s="207" t="s">
        <v>463</v>
      </c>
      <c r="D115" s="206"/>
      <c r="E115" s="208">
        <v>40</v>
      </c>
      <c r="F115" s="206"/>
      <c r="G115" s="320"/>
      <c r="H115" s="206"/>
      <c r="I115" s="292">
        <f t="shared" si="4"/>
        <v>0</v>
      </c>
      <c r="J115" s="206"/>
      <c r="K115" s="210" t="s">
        <v>460</v>
      </c>
      <c r="L115" s="210" t="s">
        <v>443</v>
      </c>
    </row>
    <row r="116" spans="1:14" ht="15.75" customHeight="1" x14ac:dyDescent="0.25">
      <c r="A116" s="205">
        <v>225067</v>
      </c>
      <c r="B116" s="206"/>
      <c r="C116" s="207" t="s">
        <v>1010</v>
      </c>
      <c r="D116" s="206"/>
      <c r="E116" s="208">
        <v>160</v>
      </c>
      <c r="F116" s="206"/>
      <c r="G116" s="320"/>
      <c r="H116" s="206"/>
      <c r="I116" s="292">
        <f t="shared" si="4"/>
        <v>0</v>
      </c>
      <c r="J116" s="206"/>
      <c r="K116" s="210" t="s">
        <v>460</v>
      </c>
      <c r="L116" s="210" t="s">
        <v>443</v>
      </c>
    </row>
    <row r="117" spans="1:14" ht="15.75" customHeight="1" x14ac:dyDescent="0.25">
      <c r="A117" s="205">
        <v>225068</v>
      </c>
      <c r="B117" s="206"/>
      <c r="C117" s="207" t="s">
        <v>464</v>
      </c>
      <c r="D117" s="206"/>
      <c r="E117" s="208">
        <v>1</v>
      </c>
      <c r="F117" s="206"/>
      <c r="G117" s="320"/>
      <c r="H117" s="206"/>
      <c r="I117" s="292">
        <f t="shared" si="4"/>
        <v>0</v>
      </c>
      <c r="J117" s="206"/>
      <c r="K117" s="210" t="s">
        <v>460</v>
      </c>
      <c r="L117" s="210" t="s">
        <v>443</v>
      </c>
    </row>
    <row r="118" spans="1:14" ht="15.75" customHeight="1" x14ac:dyDescent="0.25">
      <c r="A118" s="205">
        <v>225069</v>
      </c>
      <c r="B118" s="206"/>
      <c r="C118" s="207" t="s">
        <v>465</v>
      </c>
      <c r="D118" s="206"/>
      <c r="E118" s="208">
        <v>5</v>
      </c>
      <c r="F118" s="206"/>
      <c r="G118" s="320"/>
      <c r="H118" s="206"/>
      <c r="I118" s="292">
        <f t="shared" si="4"/>
        <v>0</v>
      </c>
      <c r="J118" s="206"/>
      <c r="K118" s="210" t="s">
        <v>460</v>
      </c>
      <c r="L118" s="210" t="s">
        <v>443</v>
      </c>
    </row>
    <row r="119" spans="1:14" ht="34.5" customHeight="1" x14ac:dyDescent="0.25">
      <c r="A119" s="205">
        <v>225070</v>
      </c>
      <c r="B119" s="206"/>
      <c r="C119" s="211" t="s">
        <v>1011</v>
      </c>
      <c r="D119" s="206"/>
      <c r="E119" s="208">
        <v>1</v>
      </c>
      <c r="F119" s="206"/>
      <c r="G119" s="320"/>
      <c r="H119" s="206"/>
      <c r="I119" s="292">
        <f t="shared" si="4"/>
        <v>0</v>
      </c>
      <c r="J119" s="206"/>
      <c r="K119" s="210" t="s">
        <v>460</v>
      </c>
      <c r="L119" s="210" t="s">
        <v>443</v>
      </c>
    </row>
    <row r="120" spans="1:14" ht="15.75" customHeight="1" x14ac:dyDescent="0.25">
      <c r="A120" s="205"/>
      <c r="B120" s="206"/>
      <c r="C120" s="211"/>
      <c r="D120" s="206"/>
      <c r="E120" s="208"/>
      <c r="F120" s="206"/>
      <c r="G120" s="320"/>
      <c r="H120" s="206"/>
      <c r="I120" s="292"/>
      <c r="J120" s="206"/>
      <c r="K120" s="210"/>
      <c r="L120" s="210"/>
    </row>
    <row r="121" spans="1:14" ht="15.75" customHeight="1" x14ac:dyDescent="0.25">
      <c r="A121" s="205">
        <v>225071</v>
      </c>
      <c r="B121" s="206"/>
      <c r="C121" s="207" t="s">
        <v>466</v>
      </c>
      <c r="D121" s="206"/>
      <c r="E121" s="208">
        <v>2</v>
      </c>
      <c r="F121" s="206"/>
      <c r="G121" s="320"/>
      <c r="H121" s="206"/>
      <c r="I121" s="292">
        <f t="shared" si="4"/>
        <v>0</v>
      </c>
      <c r="J121" s="206"/>
      <c r="K121" s="210" t="s">
        <v>460</v>
      </c>
      <c r="L121" s="210" t="s">
        <v>443</v>
      </c>
    </row>
    <row r="122" spans="1:14" ht="15.75" customHeight="1" x14ac:dyDescent="0.25">
      <c r="A122" s="205">
        <v>225072</v>
      </c>
      <c r="B122" s="206"/>
      <c r="C122" s="207" t="s">
        <v>467</v>
      </c>
      <c r="D122" s="206"/>
      <c r="E122" s="208">
        <v>3</v>
      </c>
      <c r="F122" s="206"/>
      <c r="G122" s="320"/>
      <c r="H122" s="206"/>
      <c r="I122" s="292">
        <f t="shared" si="4"/>
        <v>0</v>
      </c>
      <c r="J122" s="206"/>
      <c r="K122" s="210" t="s">
        <v>460</v>
      </c>
      <c r="L122" s="210" t="s">
        <v>443</v>
      </c>
      <c r="N122" s="293"/>
    </row>
    <row r="123" spans="1:14" ht="15.75" customHeight="1" x14ac:dyDescent="0.25">
      <c r="A123" s="205">
        <v>225073</v>
      </c>
      <c r="B123" s="206"/>
      <c r="C123" s="207" t="s">
        <v>468</v>
      </c>
      <c r="D123" s="206"/>
      <c r="E123" s="208">
        <v>10</v>
      </c>
      <c r="F123" s="206"/>
      <c r="G123" s="320"/>
      <c r="H123" s="206"/>
      <c r="I123" s="292">
        <f t="shared" si="4"/>
        <v>0</v>
      </c>
      <c r="J123" s="206"/>
      <c r="K123" s="210" t="s">
        <v>460</v>
      </c>
      <c r="L123" s="210" t="s">
        <v>443</v>
      </c>
    </row>
    <row r="124" spans="1:14" ht="15.75" customHeight="1" x14ac:dyDescent="0.25">
      <c r="A124" s="205">
        <v>225074</v>
      </c>
      <c r="B124" s="206"/>
      <c r="C124" s="207" t="s">
        <v>469</v>
      </c>
      <c r="D124" s="206"/>
      <c r="E124" s="208">
        <v>10</v>
      </c>
      <c r="F124" s="206"/>
      <c r="G124" s="320"/>
      <c r="H124" s="206"/>
      <c r="I124" s="292">
        <f t="shared" si="4"/>
        <v>0</v>
      </c>
      <c r="J124" s="206"/>
      <c r="K124" s="210" t="s">
        <v>460</v>
      </c>
      <c r="L124" s="210" t="s">
        <v>443</v>
      </c>
    </row>
    <row r="125" spans="1:14" ht="15.75" customHeight="1" x14ac:dyDescent="0.25">
      <c r="A125" s="205">
        <v>225075</v>
      </c>
      <c r="B125" s="206"/>
      <c r="C125" s="207" t="s">
        <v>472</v>
      </c>
      <c r="D125" s="206"/>
      <c r="E125" s="208">
        <v>20</v>
      </c>
      <c r="F125" s="206"/>
      <c r="G125" s="320"/>
      <c r="H125" s="206"/>
      <c r="I125" s="292">
        <f>E125*G125</f>
        <v>0</v>
      </c>
      <c r="J125" s="206"/>
      <c r="K125" s="210" t="s">
        <v>460</v>
      </c>
      <c r="L125" s="210" t="s">
        <v>443</v>
      </c>
    </row>
    <row r="126" spans="1:14" ht="15.75" customHeight="1" x14ac:dyDescent="0.25">
      <c r="A126" s="205">
        <v>225076</v>
      </c>
      <c r="B126" s="206"/>
      <c r="C126" s="207" t="s">
        <v>471</v>
      </c>
      <c r="D126" s="206"/>
      <c r="E126" s="208">
        <v>1</v>
      </c>
      <c r="F126" s="206"/>
      <c r="G126" s="320"/>
      <c r="H126" s="206"/>
      <c r="I126" s="292">
        <f t="shared" si="4"/>
        <v>0</v>
      </c>
      <c r="J126" s="206"/>
      <c r="K126" s="210" t="s">
        <v>460</v>
      </c>
      <c r="L126" s="210" t="s">
        <v>443</v>
      </c>
    </row>
    <row r="127" spans="1:14" ht="15.75" customHeight="1" x14ac:dyDescent="0.25">
      <c r="A127" s="205">
        <v>225077</v>
      </c>
      <c r="B127" s="206"/>
      <c r="C127" s="207" t="s">
        <v>473</v>
      </c>
      <c r="D127" s="206"/>
      <c r="E127" s="208">
        <v>1</v>
      </c>
      <c r="F127" s="206"/>
      <c r="G127" s="320"/>
      <c r="H127" s="206"/>
      <c r="I127" s="292">
        <f t="shared" si="4"/>
        <v>0</v>
      </c>
      <c r="J127" s="206"/>
      <c r="K127" s="210" t="s">
        <v>460</v>
      </c>
      <c r="L127" s="210" t="s">
        <v>443</v>
      </c>
    </row>
    <row r="128" spans="1:14" ht="15.75" customHeight="1" x14ac:dyDescent="0.25">
      <c r="A128" s="205"/>
      <c r="B128" s="206"/>
      <c r="C128" s="207"/>
      <c r="D128" s="206"/>
      <c r="E128" s="208"/>
      <c r="F128" s="206"/>
      <c r="G128" s="320"/>
      <c r="H128" s="206"/>
      <c r="I128" s="292"/>
      <c r="J128" s="206"/>
      <c r="K128" s="210"/>
      <c r="L128" s="210"/>
    </row>
    <row r="129" spans="1:15" ht="15.75" customHeight="1" x14ac:dyDescent="0.25">
      <c r="A129" s="205"/>
      <c r="B129" s="206"/>
      <c r="C129" s="207"/>
      <c r="D129" s="206"/>
      <c r="E129" s="208"/>
      <c r="F129" s="206"/>
      <c r="G129" s="320"/>
      <c r="H129" s="206"/>
      <c r="I129" s="292">
        <f>E129*G129</f>
        <v>0</v>
      </c>
      <c r="J129" s="206"/>
      <c r="K129" s="210"/>
      <c r="L129" s="210"/>
    </row>
    <row r="130" spans="1:15" ht="15.75" customHeight="1" x14ac:dyDescent="0.25">
      <c r="A130" s="205"/>
      <c r="B130" s="206"/>
      <c r="C130" s="291" t="s">
        <v>989</v>
      </c>
      <c r="D130" s="206"/>
      <c r="E130" s="208"/>
      <c r="F130" s="206"/>
      <c r="G130" s="320"/>
      <c r="H130" s="206"/>
      <c r="I130" s="292">
        <f>E130*G130</f>
        <v>0</v>
      </c>
      <c r="J130" s="206"/>
      <c r="K130" s="210"/>
      <c r="L130" s="210"/>
    </row>
    <row r="131" spans="1:15" ht="15.75" customHeight="1" x14ac:dyDescent="0.25">
      <c r="A131" s="205"/>
      <c r="B131" s="206"/>
      <c r="C131" s="207"/>
      <c r="D131" s="206"/>
      <c r="E131" s="208"/>
      <c r="F131" s="206"/>
      <c r="G131" s="320"/>
      <c r="H131" s="206"/>
      <c r="I131" s="292"/>
      <c r="J131" s="206"/>
      <c r="K131" s="210"/>
      <c r="L131" s="210"/>
    </row>
    <row r="132" spans="1:15" ht="15.75" customHeight="1" x14ac:dyDescent="0.25">
      <c r="A132" s="205">
        <v>225078</v>
      </c>
      <c r="B132" s="206"/>
      <c r="C132" s="207" t="s">
        <v>459</v>
      </c>
      <c r="D132" s="206"/>
      <c r="E132" s="208">
        <v>1</v>
      </c>
      <c r="F132" s="206"/>
      <c r="G132" s="320"/>
      <c r="H132" s="206"/>
      <c r="I132" s="292">
        <f t="shared" ref="I132:I143" si="5">E132*G132</f>
        <v>0</v>
      </c>
      <c r="J132" s="206"/>
      <c r="K132" s="210" t="s">
        <v>460</v>
      </c>
      <c r="L132" s="210" t="s">
        <v>443</v>
      </c>
    </row>
    <row r="133" spans="1:15" ht="31.5" customHeight="1" x14ac:dyDescent="0.25">
      <c r="A133" s="205">
        <v>225079</v>
      </c>
      <c r="B133" s="206"/>
      <c r="C133" s="211" t="s">
        <v>1012</v>
      </c>
      <c r="D133" s="206"/>
      <c r="E133" s="208">
        <v>1</v>
      </c>
      <c r="F133" s="206"/>
      <c r="G133" s="320"/>
      <c r="H133" s="206"/>
      <c r="I133" s="292">
        <f t="shared" si="5"/>
        <v>0</v>
      </c>
      <c r="J133" s="206"/>
      <c r="K133" s="210" t="s">
        <v>460</v>
      </c>
      <c r="L133" s="210" t="s">
        <v>443</v>
      </c>
    </row>
    <row r="134" spans="1:15" ht="15.75" customHeight="1" x14ac:dyDescent="0.25">
      <c r="A134" s="205">
        <v>225080</v>
      </c>
      <c r="B134" s="206"/>
      <c r="C134" s="207" t="s">
        <v>1013</v>
      </c>
      <c r="D134" s="206"/>
      <c r="E134" s="208">
        <v>1</v>
      </c>
      <c r="F134" s="206"/>
      <c r="G134" s="320"/>
      <c r="H134" s="206"/>
      <c r="I134" s="292">
        <f t="shared" si="5"/>
        <v>0</v>
      </c>
      <c r="J134" s="206"/>
      <c r="K134" s="210" t="s">
        <v>460</v>
      </c>
      <c r="L134" s="210" t="s">
        <v>443</v>
      </c>
    </row>
    <row r="135" spans="1:15" ht="15.75" customHeight="1" x14ac:dyDescent="0.25">
      <c r="A135" s="205">
        <v>225081</v>
      </c>
      <c r="B135" s="206"/>
      <c r="C135" s="207" t="s">
        <v>1014</v>
      </c>
      <c r="D135" s="206"/>
      <c r="E135" s="208">
        <v>1</v>
      </c>
      <c r="F135" s="206"/>
      <c r="G135" s="320"/>
      <c r="H135" s="206"/>
      <c r="I135" s="292">
        <f t="shared" si="5"/>
        <v>0</v>
      </c>
      <c r="J135" s="206"/>
      <c r="K135" s="210" t="s">
        <v>460</v>
      </c>
      <c r="L135" s="210" t="s">
        <v>443</v>
      </c>
    </row>
    <row r="136" spans="1:15" ht="15.75" customHeight="1" x14ac:dyDescent="0.25">
      <c r="A136" s="205">
        <v>225082</v>
      </c>
      <c r="B136" s="206"/>
      <c r="C136" s="207" t="s">
        <v>1015</v>
      </c>
      <c r="D136" s="206"/>
      <c r="E136" s="208">
        <v>2</v>
      </c>
      <c r="F136" s="206"/>
      <c r="G136" s="320"/>
      <c r="H136" s="206"/>
      <c r="I136" s="292">
        <f t="shared" si="5"/>
        <v>0</v>
      </c>
      <c r="J136" s="206"/>
      <c r="K136" s="210" t="s">
        <v>460</v>
      </c>
      <c r="L136" s="210" t="s">
        <v>443</v>
      </c>
    </row>
    <row r="137" spans="1:15" ht="15.75" customHeight="1" x14ac:dyDescent="0.25">
      <c r="A137" s="205">
        <v>225083</v>
      </c>
      <c r="B137" s="206"/>
      <c r="C137" s="207" t="s">
        <v>1016</v>
      </c>
      <c r="D137" s="206"/>
      <c r="E137" s="208">
        <v>1</v>
      </c>
      <c r="F137" s="206"/>
      <c r="G137" s="320"/>
      <c r="H137" s="206"/>
      <c r="I137" s="292">
        <f t="shared" si="5"/>
        <v>0</v>
      </c>
      <c r="J137" s="206"/>
      <c r="K137" s="210" t="s">
        <v>460</v>
      </c>
      <c r="L137" s="210" t="s">
        <v>443</v>
      </c>
      <c r="N137" s="293"/>
    </row>
    <row r="138" spans="1:15" ht="15.75" customHeight="1" x14ac:dyDescent="0.25">
      <c r="A138" s="205">
        <v>225084</v>
      </c>
      <c r="B138" s="206"/>
      <c r="C138" s="207" t="s">
        <v>451</v>
      </c>
      <c r="D138" s="206"/>
      <c r="E138" s="208">
        <v>3</v>
      </c>
      <c r="F138" s="206"/>
      <c r="G138" s="320"/>
      <c r="H138" s="206"/>
      <c r="I138" s="292">
        <f t="shared" si="5"/>
        <v>0</v>
      </c>
      <c r="J138" s="206"/>
      <c r="K138" s="210" t="s">
        <v>460</v>
      </c>
      <c r="L138" s="210" t="s">
        <v>443</v>
      </c>
    </row>
    <row r="139" spans="1:15" ht="15.75" customHeight="1" x14ac:dyDescent="0.25">
      <c r="A139" s="205">
        <v>225085</v>
      </c>
      <c r="B139" s="206"/>
      <c r="C139" s="207" t="s">
        <v>1017</v>
      </c>
      <c r="D139" s="206"/>
      <c r="E139" s="208">
        <v>1</v>
      </c>
      <c r="F139" s="206"/>
      <c r="G139" s="320"/>
      <c r="H139" s="206"/>
      <c r="I139" s="292">
        <f t="shared" si="5"/>
        <v>0</v>
      </c>
      <c r="J139" s="206"/>
      <c r="K139" s="210" t="s">
        <v>460</v>
      </c>
      <c r="L139" s="210" t="s">
        <v>443</v>
      </c>
    </row>
    <row r="140" spans="1:15" ht="15.75" customHeight="1" x14ac:dyDescent="0.25">
      <c r="A140" s="205">
        <v>225086</v>
      </c>
      <c r="B140" s="206"/>
      <c r="C140" s="207" t="s">
        <v>1018</v>
      </c>
      <c r="D140" s="206"/>
      <c r="E140" s="208">
        <v>1</v>
      </c>
      <c r="F140" s="206"/>
      <c r="G140" s="320"/>
      <c r="H140" s="206"/>
      <c r="I140" s="292">
        <f>E140*G140</f>
        <v>0</v>
      </c>
      <c r="J140" s="206"/>
      <c r="K140" s="210" t="s">
        <v>460</v>
      </c>
      <c r="L140" s="210" t="s">
        <v>443</v>
      </c>
    </row>
    <row r="141" spans="1:15" ht="15.75" customHeight="1" x14ac:dyDescent="0.25">
      <c r="A141" s="205"/>
      <c r="B141" s="206"/>
      <c r="C141" s="207"/>
      <c r="D141" s="206"/>
      <c r="E141" s="208"/>
      <c r="F141" s="206"/>
      <c r="G141" s="320"/>
      <c r="H141" s="206"/>
      <c r="I141" s="292"/>
      <c r="J141" s="206"/>
      <c r="K141" s="210"/>
      <c r="L141" s="210"/>
    </row>
    <row r="142" spans="1:15" ht="15.75" customHeight="1" x14ac:dyDescent="0.25">
      <c r="A142" s="205">
        <v>225087</v>
      </c>
      <c r="B142" s="206"/>
      <c r="C142" s="207" t="s">
        <v>1019</v>
      </c>
      <c r="D142" s="206"/>
      <c r="E142" s="208">
        <v>1</v>
      </c>
      <c r="F142" s="206"/>
      <c r="G142" s="320"/>
      <c r="H142" s="206"/>
      <c r="I142" s="292">
        <f t="shared" si="5"/>
        <v>0</v>
      </c>
      <c r="J142" s="206"/>
      <c r="K142" s="210" t="s">
        <v>460</v>
      </c>
      <c r="L142" s="210" t="s">
        <v>443</v>
      </c>
    </row>
    <row r="143" spans="1:15" ht="15.75" customHeight="1" x14ac:dyDescent="0.25">
      <c r="A143" s="205">
        <v>225088</v>
      </c>
      <c r="B143" s="206"/>
      <c r="C143" s="207" t="s">
        <v>1010</v>
      </c>
      <c r="D143" s="206"/>
      <c r="E143" s="208">
        <v>40</v>
      </c>
      <c r="F143" s="206"/>
      <c r="G143" s="320"/>
      <c r="H143" s="206"/>
      <c r="I143" s="292">
        <f t="shared" si="5"/>
        <v>0</v>
      </c>
      <c r="J143" s="206"/>
      <c r="K143" s="210" t="s">
        <v>460</v>
      </c>
      <c r="L143" s="210" t="s">
        <v>443</v>
      </c>
      <c r="O143" s="213"/>
    </row>
    <row r="144" spans="1:15" ht="15.75" customHeight="1" x14ac:dyDescent="0.3">
      <c r="A144" s="205">
        <v>225089</v>
      </c>
      <c r="B144" s="206"/>
      <c r="C144" s="207" t="s">
        <v>487</v>
      </c>
      <c r="D144" s="226"/>
      <c r="E144" s="208">
        <v>10</v>
      </c>
      <c r="F144" s="206"/>
      <c r="G144" s="320"/>
      <c r="H144" s="206"/>
      <c r="I144" s="292">
        <f>E144*G144</f>
        <v>0</v>
      </c>
      <c r="J144" s="206"/>
      <c r="K144" s="210" t="s">
        <v>460</v>
      </c>
      <c r="L144" s="210" t="s">
        <v>443</v>
      </c>
      <c r="O144" s="213"/>
    </row>
    <row r="145" spans="1:15" ht="15.75" customHeight="1" x14ac:dyDescent="0.3">
      <c r="A145" s="205">
        <v>225090</v>
      </c>
      <c r="B145" s="206"/>
      <c r="C145" s="207" t="s">
        <v>1020</v>
      </c>
      <c r="D145" s="226"/>
      <c r="E145" s="208">
        <v>30</v>
      </c>
      <c r="F145" s="206"/>
      <c r="G145" s="320"/>
      <c r="H145" s="206"/>
      <c r="I145" s="292">
        <f>E145*G145</f>
        <v>0</v>
      </c>
      <c r="J145" s="206"/>
      <c r="K145" s="210" t="s">
        <v>460</v>
      </c>
      <c r="L145" s="210" t="s">
        <v>443</v>
      </c>
      <c r="O145" s="213"/>
    </row>
    <row r="146" spans="1:15" ht="15.75" customHeight="1" x14ac:dyDescent="0.25">
      <c r="A146" s="205">
        <v>225091</v>
      </c>
      <c r="B146" s="206"/>
      <c r="C146" s="207" t="s">
        <v>466</v>
      </c>
      <c r="D146" s="206"/>
      <c r="E146" s="208">
        <v>4</v>
      </c>
      <c r="F146" s="206"/>
      <c r="G146" s="320"/>
      <c r="H146" s="206"/>
      <c r="I146" s="292">
        <f>E146*G146</f>
        <v>0</v>
      </c>
      <c r="J146" s="206"/>
      <c r="K146" s="210" t="s">
        <v>460</v>
      </c>
      <c r="L146" s="210" t="s">
        <v>443</v>
      </c>
      <c r="O146" s="213"/>
    </row>
    <row r="147" spans="1:15" ht="15.75" customHeight="1" x14ac:dyDescent="0.25">
      <c r="A147" s="205">
        <v>225092</v>
      </c>
      <c r="B147" s="206"/>
      <c r="C147" s="207" t="s">
        <v>472</v>
      </c>
      <c r="D147" s="206"/>
      <c r="E147" s="208">
        <v>10</v>
      </c>
      <c r="F147" s="206"/>
      <c r="G147" s="320"/>
      <c r="H147" s="206"/>
      <c r="I147" s="292">
        <f>E147*G147</f>
        <v>0</v>
      </c>
      <c r="J147" s="206"/>
      <c r="K147" s="210" t="s">
        <v>460</v>
      </c>
      <c r="L147" s="210" t="s">
        <v>443</v>
      </c>
      <c r="O147" s="213"/>
    </row>
    <row r="148" spans="1:15" ht="15.75" customHeight="1" x14ac:dyDescent="0.25">
      <c r="A148" s="205">
        <v>225093</v>
      </c>
      <c r="B148" s="206"/>
      <c r="C148" s="207" t="s">
        <v>470</v>
      </c>
      <c r="D148" s="206"/>
      <c r="E148" s="208">
        <v>2</v>
      </c>
      <c r="F148" s="206"/>
      <c r="G148" s="320"/>
      <c r="H148" s="206"/>
      <c r="I148" s="292">
        <f>E148*G148</f>
        <v>0</v>
      </c>
      <c r="J148" s="206"/>
      <c r="K148" s="210" t="s">
        <v>460</v>
      </c>
      <c r="L148" s="210" t="s">
        <v>443</v>
      </c>
      <c r="O148" s="213"/>
    </row>
    <row r="149" spans="1:15" ht="15.75" customHeight="1" x14ac:dyDescent="0.3">
      <c r="A149" s="205"/>
      <c r="B149" s="206"/>
      <c r="C149" s="207"/>
      <c r="D149" s="226"/>
      <c r="E149" s="208"/>
      <c r="F149" s="206"/>
      <c r="G149" s="320"/>
      <c r="H149" s="206"/>
      <c r="I149" s="292"/>
      <c r="J149" s="206"/>
      <c r="K149" s="210"/>
      <c r="L149" s="210"/>
      <c r="O149" s="213"/>
    </row>
    <row r="150" spans="1:15" ht="15.75" customHeight="1" x14ac:dyDescent="0.25">
      <c r="A150" s="205"/>
      <c r="B150" s="206"/>
      <c r="C150" s="207"/>
      <c r="D150" s="206"/>
      <c r="E150" s="208"/>
      <c r="F150" s="206"/>
      <c r="G150" s="320"/>
      <c r="H150" s="206"/>
      <c r="I150" s="292"/>
      <c r="J150" s="206"/>
      <c r="K150" s="210"/>
      <c r="L150" s="210"/>
    </row>
    <row r="151" spans="1:15" ht="15.75" customHeight="1" x14ac:dyDescent="0.25">
      <c r="A151" s="205"/>
      <c r="B151" s="206"/>
      <c r="C151" s="291" t="s">
        <v>997</v>
      </c>
      <c r="D151" s="206"/>
      <c r="E151" s="208"/>
      <c r="F151" s="206"/>
      <c r="G151" s="320"/>
      <c r="H151" s="206"/>
      <c r="I151" s="292"/>
      <c r="J151" s="206"/>
      <c r="K151" s="210"/>
      <c r="L151" s="210"/>
    </row>
    <row r="152" spans="1:15" ht="15.75" customHeight="1" x14ac:dyDescent="0.25">
      <c r="A152" s="205"/>
      <c r="B152" s="206"/>
      <c r="C152" s="207"/>
      <c r="D152" s="206"/>
      <c r="E152" s="208"/>
      <c r="F152" s="206"/>
      <c r="G152" s="320"/>
      <c r="H152" s="206"/>
      <c r="I152" s="292"/>
      <c r="J152" s="206"/>
      <c r="K152" s="210"/>
      <c r="L152" s="210"/>
    </row>
    <row r="153" spans="1:15" ht="15.75" customHeight="1" x14ac:dyDescent="0.25">
      <c r="A153" s="205">
        <v>225094</v>
      </c>
      <c r="B153" s="206"/>
      <c r="C153" s="207" t="s">
        <v>459</v>
      </c>
      <c r="D153" s="206"/>
      <c r="E153" s="208">
        <v>1</v>
      </c>
      <c r="F153" s="206"/>
      <c r="G153" s="320"/>
      <c r="H153" s="206"/>
      <c r="I153" s="292">
        <f>E153*G153</f>
        <v>0</v>
      </c>
      <c r="J153" s="206"/>
      <c r="K153" s="210" t="s">
        <v>460</v>
      </c>
      <c r="L153" s="210" t="s">
        <v>443</v>
      </c>
    </row>
    <row r="154" spans="1:15" ht="15.75" customHeight="1" x14ac:dyDescent="0.25">
      <c r="A154" s="205">
        <v>225095</v>
      </c>
      <c r="B154" s="206"/>
      <c r="C154" s="207" t="s">
        <v>1021</v>
      </c>
      <c r="D154" s="206"/>
      <c r="E154" s="208">
        <v>1</v>
      </c>
      <c r="F154" s="206"/>
      <c r="G154" s="320"/>
      <c r="H154" s="206"/>
      <c r="I154" s="292">
        <f t="shared" ref="I154:I161" si="6">E154*G154</f>
        <v>0</v>
      </c>
      <c r="J154" s="206"/>
      <c r="K154" s="210" t="s">
        <v>460</v>
      </c>
      <c r="L154" s="210" t="s">
        <v>443</v>
      </c>
    </row>
    <row r="155" spans="1:15" ht="31.5" customHeight="1" x14ac:dyDescent="0.25">
      <c r="A155" s="205">
        <v>225096</v>
      </c>
      <c r="B155" s="206"/>
      <c r="C155" s="211" t="s">
        <v>1022</v>
      </c>
      <c r="D155" s="206"/>
      <c r="E155" s="208">
        <v>1</v>
      </c>
      <c r="F155" s="206"/>
      <c r="G155" s="320"/>
      <c r="H155" s="206"/>
      <c r="I155" s="292">
        <f t="shared" si="6"/>
        <v>0</v>
      </c>
      <c r="J155" s="206"/>
      <c r="K155" s="210" t="s">
        <v>460</v>
      </c>
      <c r="L155" s="210" t="s">
        <v>443</v>
      </c>
    </row>
    <row r="156" spans="1:15" ht="15.75" customHeight="1" x14ac:dyDescent="0.25">
      <c r="A156" s="205">
        <v>225097</v>
      </c>
      <c r="B156" s="206"/>
      <c r="C156" s="207" t="s">
        <v>463</v>
      </c>
      <c r="D156" s="206"/>
      <c r="E156" s="208">
        <v>3</v>
      </c>
      <c r="F156" s="206"/>
      <c r="G156" s="320"/>
      <c r="H156" s="206"/>
      <c r="I156" s="292">
        <f t="shared" si="6"/>
        <v>0</v>
      </c>
      <c r="J156" s="206"/>
      <c r="K156" s="210" t="s">
        <v>460</v>
      </c>
      <c r="L156" s="210" t="s">
        <v>443</v>
      </c>
    </row>
    <row r="157" spans="1:15" ht="15.75" customHeight="1" x14ac:dyDescent="0.25">
      <c r="A157" s="205">
        <v>225098</v>
      </c>
      <c r="B157" s="206"/>
      <c r="C157" s="207" t="s">
        <v>1010</v>
      </c>
      <c r="D157" s="206"/>
      <c r="E157" s="208">
        <v>12</v>
      </c>
      <c r="F157" s="206"/>
      <c r="G157" s="320"/>
      <c r="H157" s="206"/>
      <c r="I157" s="292">
        <f t="shared" si="6"/>
        <v>0</v>
      </c>
      <c r="J157" s="206"/>
      <c r="K157" s="210" t="s">
        <v>460</v>
      </c>
      <c r="L157" s="210" t="s">
        <v>443</v>
      </c>
      <c r="N157" s="293"/>
    </row>
    <row r="158" spans="1:15" ht="15.75" customHeight="1" x14ac:dyDescent="0.3">
      <c r="A158" s="205">
        <v>225099</v>
      </c>
      <c r="B158" s="206"/>
      <c r="C158" s="207" t="s">
        <v>1020</v>
      </c>
      <c r="D158" s="226"/>
      <c r="E158" s="208">
        <v>15</v>
      </c>
      <c r="F158" s="206"/>
      <c r="G158" s="320"/>
      <c r="H158" s="206"/>
      <c r="I158" s="292">
        <f t="shared" si="6"/>
        <v>0</v>
      </c>
      <c r="J158" s="206"/>
      <c r="K158" s="210" t="s">
        <v>460</v>
      </c>
      <c r="L158" s="210" t="s">
        <v>443</v>
      </c>
    </row>
    <row r="159" spans="1:15" ht="15.75" customHeight="1" x14ac:dyDescent="0.25">
      <c r="A159" s="205">
        <v>225100</v>
      </c>
      <c r="B159" s="206"/>
      <c r="C159" s="207" t="s">
        <v>1023</v>
      </c>
      <c r="D159" s="206"/>
      <c r="E159" s="208">
        <v>1</v>
      </c>
      <c r="F159" s="206"/>
      <c r="G159" s="320"/>
      <c r="H159" s="206"/>
      <c r="I159" s="292">
        <f t="shared" si="6"/>
        <v>0</v>
      </c>
      <c r="J159" s="206"/>
      <c r="K159" s="210" t="s">
        <v>460</v>
      </c>
      <c r="L159" s="210" t="s">
        <v>443</v>
      </c>
    </row>
    <row r="160" spans="1:15" ht="15.75" customHeight="1" x14ac:dyDescent="0.25">
      <c r="A160" s="205">
        <v>225101</v>
      </c>
      <c r="B160" s="206"/>
      <c r="C160" s="207" t="s">
        <v>468</v>
      </c>
      <c r="D160" s="206"/>
      <c r="E160" s="208">
        <v>3</v>
      </c>
      <c r="F160" s="206"/>
      <c r="G160" s="320"/>
      <c r="H160" s="206"/>
      <c r="I160" s="292">
        <f t="shared" si="6"/>
        <v>0</v>
      </c>
      <c r="J160" s="206"/>
      <c r="K160" s="210" t="s">
        <v>460</v>
      </c>
      <c r="L160" s="210" t="s">
        <v>443</v>
      </c>
    </row>
    <row r="161" spans="1:12" ht="15.75" customHeight="1" x14ac:dyDescent="0.25">
      <c r="A161" s="205">
        <v>225102</v>
      </c>
      <c r="B161" s="206"/>
      <c r="C161" s="207" t="s">
        <v>1024</v>
      </c>
      <c r="D161" s="206"/>
      <c r="E161" s="208">
        <v>1</v>
      </c>
      <c r="F161" s="206"/>
      <c r="G161" s="320"/>
      <c r="H161" s="206"/>
      <c r="I161" s="292">
        <f t="shared" si="6"/>
        <v>0</v>
      </c>
      <c r="J161" s="206"/>
      <c r="K161" s="210" t="s">
        <v>460</v>
      </c>
      <c r="L161" s="210" t="s">
        <v>443</v>
      </c>
    </row>
    <row r="162" spans="1:12" ht="15.75" customHeight="1" x14ac:dyDescent="0.3">
      <c r="A162" s="205"/>
      <c r="B162" s="206"/>
      <c r="C162" s="207"/>
      <c r="D162" s="206"/>
      <c r="E162" s="208"/>
      <c r="F162" s="206"/>
      <c r="G162" s="209"/>
      <c r="H162" s="206"/>
      <c r="I162" s="212"/>
      <c r="J162" s="206"/>
      <c r="K162" s="210"/>
      <c r="L162" s="210"/>
    </row>
    <row r="163" spans="1:12" ht="15.75" customHeight="1" x14ac:dyDescent="0.3">
      <c r="A163" s="205"/>
      <c r="B163" s="206"/>
      <c r="C163" s="207"/>
      <c r="D163" s="206"/>
      <c r="E163" s="208"/>
      <c r="F163" s="206"/>
      <c r="G163" s="209"/>
      <c r="H163" s="206"/>
      <c r="I163" s="212">
        <f>E163*G163</f>
        <v>0</v>
      </c>
      <c r="J163" s="206"/>
      <c r="K163" s="210"/>
      <c r="L163" s="210"/>
    </row>
    <row r="164" spans="1:12" ht="15.75" customHeight="1" x14ac:dyDescent="0.25">
      <c r="A164" s="205"/>
      <c r="B164" s="206"/>
      <c r="C164" s="207"/>
      <c r="D164" s="206"/>
      <c r="E164" s="208"/>
      <c r="F164" s="206"/>
      <c r="G164" s="209"/>
      <c r="H164" s="206"/>
      <c r="I164" s="209"/>
      <c r="J164" s="206"/>
      <c r="K164" s="210"/>
      <c r="L164" s="210"/>
    </row>
    <row r="165" spans="1:12" ht="15.75" customHeight="1" x14ac:dyDescent="0.25">
      <c r="A165" s="205"/>
      <c r="B165" s="206"/>
      <c r="C165" s="207"/>
      <c r="D165" s="206"/>
      <c r="E165" s="208"/>
      <c r="F165" s="206"/>
      <c r="G165" s="209"/>
      <c r="H165" s="206"/>
      <c r="I165" s="209"/>
      <c r="J165" s="206"/>
      <c r="K165" s="210"/>
      <c r="L165" s="210"/>
    </row>
    <row r="166" spans="1:12" ht="15.75" customHeight="1" x14ac:dyDescent="0.3">
      <c r="A166" s="214"/>
      <c r="B166" s="214"/>
      <c r="C166" s="215" t="s">
        <v>474</v>
      </c>
      <c r="D166" s="214"/>
      <c r="E166" s="214"/>
      <c r="F166" s="214"/>
      <c r="G166" s="214"/>
      <c r="H166" s="214"/>
      <c r="I166" s="214"/>
      <c r="J166" s="214"/>
      <c r="K166" s="214"/>
      <c r="L166" s="214"/>
    </row>
    <row r="167" spans="1:12" ht="15.75" customHeight="1" x14ac:dyDescent="0.25">
      <c r="A167" s="216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</row>
    <row r="168" spans="1:12" ht="15.75" customHeight="1" x14ac:dyDescent="0.25">
      <c r="A168" s="214"/>
      <c r="B168" s="214"/>
      <c r="C168" s="217" t="s">
        <v>475</v>
      </c>
      <c r="D168" s="214"/>
      <c r="E168" s="457">
        <f>SUM(I15:I81)</f>
        <v>0</v>
      </c>
      <c r="F168" s="457"/>
      <c r="G168" s="457"/>
      <c r="H168" s="214"/>
      <c r="I168" s="218" t="s">
        <v>476</v>
      </c>
      <c r="J168" s="214"/>
      <c r="K168" s="214"/>
      <c r="L168" s="214"/>
    </row>
    <row r="169" spans="1:12" ht="15.75" customHeight="1" x14ac:dyDescent="0.25">
      <c r="A169" s="214"/>
      <c r="B169" s="214"/>
      <c r="C169" s="217" t="s">
        <v>477</v>
      </c>
      <c r="D169" s="214"/>
      <c r="E169" s="457">
        <f>SUM(I91:I164)</f>
        <v>0</v>
      </c>
      <c r="F169" s="457"/>
      <c r="G169" s="457"/>
      <c r="H169" s="214"/>
      <c r="I169" s="218" t="s">
        <v>476</v>
      </c>
      <c r="J169" s="214"/>
      <c r="K169" s="214"/>
      <c r="L169" s="214"/>
    </row>
    <row r="170" spans="1:12" ht="15.75" customHeight="1" x14ac:dyDescent="0.25">
      <c r="A170" s="214"/>
      <c r="B170" s="214"/>
      <c r="C170" s="217" t="s">
        <v>478</v>
      </c>
      <c r="D170" s="214"/>
      <c r="E170" s="458"/>
      <c r="F170" s="458"/>
      <c r="G170" s="458"/>
      <c r="H170" s="214"/>
      <c r="I170" s="218" t="s">
        <v>476</v>
      </c>
      <c r="J170" s="214"/>
      <c r="K170" s="214"/>
      <c r="L170" s="214"/>
    </row>
    <row r="171" spans="1:12" ht="15.75" customHeight="1" x14ac:dyDescent="0.25">
      <c r="A171" s="214"/>
      <c r="B171" s="214"/>
      <c r="C171" s="217" t="s">
        <v>479</v>
      </c>
      <c r="D171" s="214"/>
      <c r="E171" s="458"/>
      <c r="F171" s="458"/>
      <c r="G171" s="458"/>
      <c r="H171" s="214"/>
      <c r="I171" s="218" t="s">
        <v>476</v>
      </c>
      <c r="J171" s="214"/>
      <c r="K171" s="214"/>
      <c r="L171" s="214"/>
    </row>
    <row r="172" spans="1:12" ht="15.75" customHeight="1" x14ac:dyDescent="0.25">
      <c r="A172" s="214"/>
      <c r="B172" s="214"/>
      <c r="C172" s="217"/>
      <c r="D172" s="214"/>
      <c r="E172" s="219"/>
      <c r="F172" s="220"/>
      <c r="G172" s="221"/>
      <c r="H172" s="214"/>
      <c r="I172" s="214"/>
      <c r="J172" s="214"/>
      <c r="K172" s="214"/>
      <c r="L172" s="214"/>
    </row>
    <row r="173" spans="1:12" ht="15.75" customHeight="1" x14ac:dyDescent="0.3">
      <c r="A173" s="222" t="s">
        <v>480</v>
      </c>
      <c r="B173" s="214"/>
      <c r="C173" s="214"/>
      <c r="D173" s="214"/>
      <c r="E173" s="453">
        <f>SUM(E168:E171)</f>
        <v>0</v>
      </c>
      <c r="F173" s="453"/>
      <c r="G173" s="453"/>
      <c r="H173" s="214"/>
      <c r="I173" s="223" t="s">
        <v>481</v>
      </c>
      <c r="J173" s="214"/>
      <c r="K173" s="214"/>
      <c r="L173" s="214"/>
    </row>
    <row r="174" spans="1:12" ht="15.75" customHeight="1" x14ac:dyDescent="0.3">
      <c r="A174" s="224"/>
      <c r="F174" s="225"/>
    </row>
    <row r="175" spans="1:12" ht="15.75" customHeight="1" x14ac:dyDescent="0.25"/>
    <row r="176" spans="1:12" ht="15.75" customHeight="1" x14ac:dyDescent="0.25">
      <c r="A176" s="205"/>
      <c r="B176" s="206"/>
      <c r="C176" s="207"/>
      <c r="D176" s="206"/>
      <c r="E176" s="208"/>
      <c r="F176" s="206"/>
      <c r="G176" s="209"/>
      <c r="H176" s="206"/>
      <c r="I176" s="209"/>
      <c r="J176" s="206"/>
      <c r="K176" s="210"/>
      <c r="L176" s="210"/>
    </row>
    <row r="177" spans="1:12" ht="15.75" customHeight="1" x14ac:dyDescent="0.25">
      <c r="A177" s="205"/>
      <c r="B177" s="206"/>
      <c r="C177" s="207"/>
      <c r="D177" s="206"/>
      <c r="E177" s="208"/>
      <c r="F177" s="206"/>
      <c r="G177" s="209"/>
      <c r="H177" s="206"/>
      <c r="I177" s="209"/>
      <c r="J177" s="206"/>
      <c r="K177" s="210"/>
      <c r="L177" s="210"/>
    </row>
    <row r="178" spans="1:12" ht="15.75" customHeight="1" x14ac:dyDescent="0.25">
      <c r="A178" s="205"/>
      <c r="B178" s="206"/>
      <c r="C178" s="207"/>
      <c r="D178" s="206"/>
      <c r="E178" s="208"/>
      <c r="F178" s="206"/>
      <c r="G178" s="209"/>
      <c r="H178" s="206"/>
      <c r="I178" s="209"/>
      <c r="J178" s="206"/>
      <c r="K178" s="210"/>
      <c r="L178" s="210"/>
    </row>
    <row r="179" spans="1:12" ht="15.75" customHeight="1" x14ac:dyDescent="0.25">
      <c r="A179" s="205"/>
      <c r="B179" s="206"/>
      <c r="C179" s="207"/>
      <c r="D179" s="206"/>
      <c r="E179" s="208"/>
      <c r="F179" s="206"/>
      <c r="G179" s="209"/>
      <c r="H179" s="206"/>
      <c r="I179" s="209"/>
      <c r="J179" s="206"/>
      <c r="K179" s="210"/>
      <c r="L179" s="210"/>
    </row>
    <row r="180" spans="1:12" ht="15.75" customHeight="1" x14ac:dyDescent="0.25">
      <c r="A180" s="205"/>
      <c r="B180" s="206"/>
      <c r="C180" s="207"/>
      <c r="D180" s="206"/>
      <c r="E180" s="208"/>
      <c r="F180" s="206"/>
      <c r="G180" s="209"/>
      <c r="H180" s="206"/>
      <c r="I180" s="209"/>
      <c r="J180" s="206"/>
      <c r="K180" s="210"/>
      <c r="L180" s="210"/>
    </row>
    <row r="181" spans="1:12" ht="15.75" customHeight="1" x14ac:dyDescent="0.25">
      <c r="A181" s="205"/>
      <c r="B181" s="206"/>
      <c r="C181" s="207"/>
      <c r="D181" s="206"/>
      <c r="E181" s="208"/>
      <c r="F181" s="206"/>
      <c r="G181" s="209"/>
      <c r="H181" s="206"/>
      <c r="I181" s="209"/>
      <c r="J181" s="206"/>
      <c r="K181" s="210"/>
      <c r="L181" s="210"/>
    </row>
    <row r="182" spans="1:12" ht="15.75" customHeight="1" x14ac:dyDescent="0.25"/>
    <row r="183" spans="1:12" ht="15.75" customHeight="1" x14ac:dyDescent="0.25"/>
    <row r="184" spans="1:12" ht="15.75" customHeight="1" x14ac:dyDescent="0.25"/>
    <row r="185" spans="1:12" ht="15.75" customHeight="1" x14ac:dyDescent="0.25"/>
    <row r="186" spans="1:12" ht="15.75" customHeight="1" x14ac:dyDescent="0.25"/>
    <row r="187" spans="1:12" ht="15.75" customHeight="1" x14ac:dyDescent="0.25"/>
    <row r="188" spans="1:12" ht="15.75" customHeight="1" x14ac:dyDescent="0.25"/>
    <row r="189" spans="1:12" ht="15.75" customHeight="1" x14ac:dyDescent="0.25"/>
    <row r="190" spans="1:12" ht="15.75" customHeight="1" x14ac:dyDescent="0.25"/>
    <row r="191" spans="1:12" ht="15.75" customHeight="1" x14ac:dyDescent="0.25"/>
    <row r="192" spans="1:1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</sheetData>
  <sheetProtection algorithmName="SHA-512" hashValue="lpSgv1OEMCjSer14GQjCPKbxVUjVUdcmLriVD/ElMoazzWvvT2VAe92jkT/GglxDoo29hwKjG5zM0d80Em5luw==" saltValue="tJ64IV4V9BZNHjYySjv9Cw==" spinCount="100000" sheet="1" objects="1" scenarios="1"/>
  <mergeCells count="10">
    <mergeCell ref="O93:Q93"/>
    <mergeCell ref="E168:G168"/>
    <mergeCell ref="E169:G169"/>
    <mergeCell ref="E170:G170"/>
    <mergeCell ref="E171:G171"/>
    <mergeCell ref="E173:G173"/>
    <mergeCell ref="A2:L2"/>
    <mergeCell ref="A4:L4"/>
    <mergeCell ref="A5:L5"/>
    <mergeCell ref="A6:L6"/>
  </mergeCells>
  <conditionalFormatting sqref="E172:E173 F172 C168:C172 I168:I171 I12:I14 I162:I163">
    <cfRule type="cellIs" dxfId="5" priority="4" stopIfTrue="1" operator="equal">
      <formula>0</formula>
    </cfRule>
  </conditionalFormatting>
  <conditionalFormatting sqref="C166">
    <cfRule type="expression" dxfId="4" priority="5" stopIfTrue="1">
      <formula>$C166 = 0</formula>
    </cfRule>
    <cfRule type="cellIs" dxfId="3" priority="6" stopIfTrue="1" operator="equal">
      <formula>0</formula>
    </cfRule>
  </conditionalFormatting>
  <conditionalFormatting sqref="I15">
    <cfRule type="cellIs" dxfId="2" priority="3" stopIfTrue="1" operator="equal">
      <formula>0</formula>
    </cfRule>
  </conditionalFormatting>
  <conditionalFormatting sqref="Q36">
    <cfRule type="cellIs" dxfId="1" priority="2" stopIfTrue="1" operator="equal">
      <formula>0</formula>
    </cfRule>
  </conditionalFormatting>
  <conditionalFormatting sqref="I16:I161">
    <cfRule type="cellIs" dxfId="0" priority="1" stopIfTrue="1" operator="equal">
      <formula>0</formula>
    </cfRule>
  </conditionalFormatting>
  <pageMargins left="0.196850393700787" right="0.196850393700787" top="0.39370078740157499" bottom="0.59055118110236204" header="0.511811023622047" footer="0.511811023622047"/>
  <pageSetup paperSize="9" scale="90" fitToHeight="9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"/>
  <sheetViews>
    <sheetView topLeftCell="A193" zoomScaleNormal="100" workbookViewId="0">
      <selection activeCell="N17" sqref="N17"/>
    </sheetView>
  </sheetViews>
  <sheetFormatPr defaultColWidth="10" defaultRowHeight="13.2" x14ac:dyDescent="0.25"/>
  <cols>
    <col min="1" max="2" width="3.6640625" style="268" customWidth="1"/>
    <col min="3" max="3" width="58.6640625" style="268" customWidth="1"/>
    <col min="4" max="4" width="3.6640625" style="268" customWidth="1"/>
    <col min="5" max="5" width="6.44140625" style="268" customWidth="1"/>
    <col min="6" max="6" width="9.109375" style="275" customWidth="1"/>
    <col min="7" max="7" width="11.44140625" style="275" customWidth="1"/>
    <col min="8" max="256" width="10" style="268"/>
    <col min="257" max="258" width="3.6640625" style="268" customWidth="1"/>
    <col min="259" max="259" width="58.6640625" style="268" customWidth="1"/>
    <col min="260" max="260" width="3.6640625" style="268" customWidth="1"/>
    <col min="261" max="261" width="6.44140625" style="268" customWidth="1"/>
    <col min="262" max="262" width="9.109375" style="268" customWidth="1"/>
    <col min="263" max="263" width="11.44140625" style="268" customWidth="1"/>
    <col min="264" max="512" width="10" style="268"/>
    <col min="513" max="514" width="3.6640625" style="268" customWidth="1"/>
    <col min="515" max="515" width="58.6640625" style="268" customWidth="1"/>
    <col min="516" max="516" width="3.6640625" style="268" customWidth="1"/>
    <col min="517" max="517" width="6.44140625" style="268" customWidth="1"/>
    <col min="518" max="518" width="9.109375" style="268" customWidth="1"/>
    <col min="519" max="519" width="11.44140625" style="268" customWidth="1"/>
    <col min="520" max="768" width="10" style="268"/>
    <col min="769" max="770" width="3.6640625" style="268" customWidth="1"/>
    <col min="771" max="771" width="58.6640625" style="268" customWidth="1"/>
    <col min="772" max="772" width="3.6640625" style="268" customWidth="1"/>
    <col min="773" max="773" width="6.44140625" style="268" customWidth="1"/>
    <col min="774" max="774" width="9.109375" style="268" customWidth="1"/>
    <col min="775" max="775" width="11.44140625" style="268" customWidth="1"/>
    <col min="776" max="1024" width="10" style="268"/>
    <col min="1025" max="1026" width="3.6640625" style="268" customWidth="1"/>
    <col min="1027" max="1027" width="58.6640625" style="268" customWidth="1"/>
    <col min="1028" max="1028" width="3.6640625" style="268" customWidth="1"/>
    <col min="1029" max="1029" width="6.44140625" style="268" customWidth="1"/>
    <col min="1030" max="1030" width="9.109375" style="268" customWidth="1"/>
    <col min="1031" max="1031" width="11.44140625" style="268" customWidth="1"/>
    <col min="1032" max="1280" width="10" style="268"/>
    <col min="1281" max="1282" width="3.6640625" style="268" customWidth="1"/>
    <col min="1283" max="1283" width="58.6640625" style="268" customWidth="1"/>
    <col min="1284" max="1284" width="3.6640625" style="268" customWidth="1"/>
    <col min="1285" max="1285" width="6.44140625" style="268" customWidth="1"/>
    <col min="1286" max="1286" width="9.109375" style="268" customWidth="1"/>
    <col min="1287" max="1287" width="11.44140625" style="268" customWidth="1"/>
    <col min="1288" max="1536" width="10" style="268"/>
    <col min="1537" max="1538" width="3.6640625" style="268" customWidth="1"/>
    <col min="1539" max="1539" width="58.6640625" style="268" customWidth="1"/>
    <col min="1540" max="1540" width="3.6640625" style="268" customWidth="1"/>
    <col min="1541" max="1541" width="6.44140625" style="268" customWidth="1"/>
    <col min="1542" max="1542" width="9.109375" style="268" customWidth="1"/>
    <col min="1543" max="1543" width="11.44140625" style="268" customWidth="1"/>
    <col min="1544" max="1792" width="10" style="268"/>
    <col min="1793" max="1794" width="3.6640625" style="268" customWidth="1"/>
    <col min="1795" max="1795" width="58.6640625" style="268" customWidth="1"/>
    <col min="1796" max="1796" width="3.6640625" style="268" customWidth="1"/>
    <col min="1797" max="1797" width="6.44140625" style="268" customWidth="1"/>
    <col min="1798" max="1798" width="9.109375" style="268" customWidth="1"/>
    <col min="1799" max="1799" width="11.44140625" style="268" customWidth="1"/>
    <col min="1800" max="2048" width="10" style="268"/>
    <col min="2049" max="2050" width="3.6640625" style="268" customWidth="1"/>
    <col min="2051" max="2051" width="58.6640625" style="268" customWidth="1"/>
    <col min="2052" max="2052" width="3.6640625" style="268" customWidth="1"/>
    <col min="2053" max="2053" width="6.44140625" style="268" customWidth="1"/>
    <col min="2054" max="2054" width="9.109375" style="268" customWidth="1"/>
    <col min="2055" max="2055" width="11.44140625" style="268" customWidth="1"/>
    <col min="2056" max="2304" width="10" style="268"/>
    <col min="2305" max="2306" width="3.6640625" style="268" customWidth="1"/>
    <col min="2307" max="2307" width="58.6640625" style="268" customWidth="1"/>
    <col min="2308" max="2308" width="3.6640625" style="268" customWidth="1"/>
    <col min="2309" max="2309" width="6.44140625" style="268" customWidth="1"/>
    <col min="2310" max="2310" width="9.109375" style="268" customWidth="1"/>
    <col min="2311" max="2311" width="11.44140625" style="268" customWidth="1"/>
    <col min="2312" max="2560" width="10" style="268"/>
    <col min="2561" max="2562" width="3.6640625" style="268" customWidth="1"/>
    <col min="2563" max="2563" width="58.6640625" style="268" customWidth="1"/>
    <col min="2564" max="2564" width="3.6640625" style="268" customWidth="1"/>
    <col min="2565" max="2565" width="6.44140625" style="268" customWidth="1"/>
    <col min="2566" max="2566" width="9.109375" style="268" customWidth="1"/>
    <col min="2567" max="2567" width="11.44140625" style="268" customWidth="1"/>
    <col min="2568" max="2816" width="10" style="268"/>
    <col min="2817" max="2818" width="3.6640625" style="268" customWidth="1"/>
    <col min="2819" max="2819" width="58.6640625" style="268" customWidth="1"/>
    <col min="2820" max="2820" width="3.6640625" style="268" customWidth="1"/>
    <col min="2821" max="2821" width="6.44140625" style="268" customWidth="1"/>
    <col min="2822" max="2822" width="9.109375" style="268" customWidth="1"/>
    <col min="2823" max="2823" width="11.44140625" style="268" customWidth="1"/>
    <col min="2824" max="3072" width="10" style="268"/>
    <col min="3073" max="3074" width="3.6640625" style="268" customWidth="1"/>
    <col min="3075" max="3075" width="58.6640625" style="268" customWidth="1"/>
    <col min="3076" max="3076" width="3.6640625" style="268" customWidth="1"/>
    <col min="3077" max="3077" width="6.44140625" style="268" customWidth="1"/>
    <col min="3078" max="3078" width="9.109375" style="268" customWidth="1"/>
    <col min="3079" max="3079" width="11.44140625" style="268" customWidth="1"/>
    <col min="3080" max="3328" width="10" style="268"/>
    <col min="3329" max="3330" width="3.6640625" style="268" customWidth="1"/>
    <col min="3331" max="3331" width="58.6640625" style="268" customWidth="1"/>
    <col min="3332" max="3332" width="3.6640625" style="268" customWidth="1"/>
    <col min="3333" max="3333" width="6.44140625" style="268" customWidth="1"/>
    <col min="3334" max="3334" width="9.109375" style="268" customWidth="1"/>
    <col min="3335" max="3335" width="11.44140625" style="268" customWidth="1"/>
    <col min="3336" max="3584" width="10" style="268"/>
    <col min="3585" max="3586" width="3.6640625" style="268" customWidth="1"/>
    <col min="3587" max="3587" width="58.6640625" style="268" customWidth="1"/>
    <col min="3588" max="3588" width="3.6640625" style="268" customWidth="1"/>
    <col min="3589" max="3589" width="6.44140625" style="268" customWidth="1"/>
    <col min="3590" max="3590" width="9.109375" style="268" customWidth="1"/>
    <col min="3591" max="3591" width="11.44140625" style="268" customWidth="1"/>
    <col min="3592" max="3840" width="10" style="268"/>
    <col min="3841" max="3842" width="3.6640625" style="268" customWidth="1"/>
    <col min="3843" max="3843" width="58.6640625" style="268" customWidth="1"/>
    <col min="3844" max="3844" width="3.6640625" style="268" customWidth="1"/>
    <col min="3845" max="3845" width="6.44140625" style="268" customWidth="1"/>
    <col min="3846" max="3846" width="9.109375" style="268" customWidth="1"/>
    <col min="3847" max="3847" width="11.44140625" style="268" customWidth="1"/>
    <col min="3848" max="4096" width="10" style="268"/>
    <col min="4097" max="4098" width="3.6640625" style="268" customWidth="1"/>
    <col min="4099" max="4099" width="58.6640625" style="268" customWidth="1"/>
    <col min="4100" max="4100" width="3.6640625" style="268" customWidth="1"/>
    <col min="4101" max="4101" width="6.44140625" style="268" customWidth="1"/>
    <col min="4102" max="4102" width="9.109375" style="268" customWidth="1"/>
    <col min="4103" max="4103" width="11.44140625" style="268" customWidth="1"/>
    <col min="4104" max="4352" width="10" style="268"/>
    <col min="4353" max="4354" width="3.6640625" style="268" customWidth="1"/>
    <col min="4355" max="4355" width="58.6640625" style="268" customWidth="1"/>
    <col min="4356" max="4356" width="3.6640625" style="268" customWidth="1"/>
    <col min="4357" max="4357" width="6.44140625" style="268" customWidth="1"/>
    <col min="4358" max="4358" width="9.109375" style="268" customWidth="1"/>
    <col min="4359" max="4359" width="11.44140625" style="268" customWidth="1"/>
    <col min="4360" max="4608" width="10" style="268"/>
    <col min="4609" max="4610" width="3.6640625" style="268" customWidth="1"/>
    <col min="4611" max="4611" width="58.6640625" style="268" customWidth="1"/>
    <col min="4612" max="4612" width="3.6640625" style="268" customWidth="1"/>
    <col min="4613" max="4613" width="6.44140625" style="268" customWidth="1"/>
    <col min="4614" max="4614" width="9.109375" style="268" customWidth="1"/>
    <col min="4615" max="4615" width="11.44140625" style="268" customWidth="1"/>
    <col min="4616" max="4864" width="10" style="268"/>
    <col min="4865" max="4866" width="3.6640625" style="268" customWidth="1"/>
    <col min="4867" max="4867" width="58.6640625" style="268" customWidth="1"/>
    <col min="4868" max="4868" width="3.6640625" style="268" customWidth="1"/>
    <col min="4869" max="4869" width="6.44140625" style="268" customWidth="1"/>
    <col min="4870" max="4870" width="9.109375" style="268" customWidth="1"/>
    <col min="4871" max="4871" width="11.44140625" style="268" customWidth="1"/>
    <col min="4872" max="5120" width="10" style="268"/>
    <col min="5121" max="5122" width="3.6640625" style="268" customWidth="1"/>
    <col min="5123" max="5123" width="58.6640625" style="268" customWidth="1"/>
    <col min="5124" max="5124" width="3.6640625" style="268" customWidth="1"/>
    <col min="5125" max="5125" width="6.44140625" style="268" customWidth="1"/>
    <col min="5126" max="5126" width="9.109375" style="268" customWidth="1"/>
    <col min="5127" max="5127" width="11.44140625" style="268" customWidth="1"/>
    <col min="5128" max="5376" width="10" style="268"/>
    <col min="5377" max="5378" width="3.6640625" style="268" customWidth="1"/>
    <col min="5379" max="5379" width="58.6640625" style="268" customWidth="1"/>
    <col min="5380" max="5380" width="3.6640625" style="268" customWidth="1"/>
    <col min="5381" max="5381" width="6.44140625" style="268" customWidth="1"/>
    <col min="5382" max="5382" width="9.109375" style="268" customWidth="1"/>
    <col min="5383" max="5383" width="11.44140625" style="268" customWidth="1"/>
    <col min="5384" max="5632" width="10" style="268"/>
    <col min="5633" max="5634" width="3.6640625" style="268" customWidth="1"/>
    <col min="5635" max="5635" width="58.6640625" style="268" customWidth="1"/>
    <col min="5636" max="5636" width="3.6640625" style="268" customWidth="1"/>
    <col min="5637" max="5637" width="6.44140625" style="268" customWidth="1"/>
    <col min="5638" max="5638" width="9.109375" style="268" customWidth="1"/>
    <col min="5639" max="5639" width="11.44140625" style="268" customWidth="1"/>
    <col min="5640" max="5888" width="10" style="268"/>
    <col min="5889" max="5890" width="3.6640625" style="268" customWidth="1"/>
    <col min="5891" max="5891" width="58.6640625" style="268" customWidth="1"/>
    <col min="5892" max="5892" width="3.6640625" style="268" customWidth="1"/>
    <col min="5893" max="5893" width="6.44140625" style="268" customWidth="1"/>
    <col min="5894" max="5894" width="9.109375" style="268" customWidth="1"/>
    <col min="5895" max="5895" width="11.44140625" style="268" customWidth="1"/>
    <col min="5896" max="6144" width="10" style="268"/>
    <col min="6145" max="6146" width="3.6640625" style="268" customWidth="1"/>
    <col min="6147" max="6147" width="58.6640625" style="268" customWidth="1"/>
    <col min="6148" max="6148" width="3.6640625" style="268" customWidth="1"/>
    <col min="6149" max="6149" width="6.44140625" style="268" customWidth="1"/>
    <col min="6150" max="6150" width="9.109375" style="268" customWidth="1"/>
    <col min="6151" max="6151" width="11.44140625" style="268" customWidth="1"/>
    <col min="6152" max="6400" width="10" style="268"/>
    <col min="6401" max="6402" width="3.6640625" style="268" customWidth="1"/>
    <col min="6403" max="6403" width="58.6640625" style="268" customWidth="1"/>
    <col min="6404" max="6404" width="3.6640625" style="268" customWidth="1"/>
    <col min="6405" max="6405" width="6.44140625" style="268" customWidth="1"/>
    <col min="6406" max="6406" width="9.109375" style="268" customWidth="1"/>
    <col min="6407" max="6407" width="11.44140625" style="268" customWidth="1"/>
    <col min="6408" max="6656" width="10" style="268"/>
    <col min="6657" max="6658" width="3.6640625" style="268" customWidth="1"/>
    <col min="6659" max="6659" width="58.6640625" style="268" customWidth="1"/>
    <col min="6660" max="6660" width="3.6640625" style="268" customWidth="1"/>
    <col min="6661" max="6661" width="6.44140625" style="268" customWidth="1"/>
    <col min="6662" max="6662" width="9.109375" style="268" customWidth="1"/>
    <col min="6663" max="6663" width="11.44140625" style="268" customWidth="1"/>
    <col min="6664" max="6912" width="10" style="268"/>
    <col min="6913" max="6914" width="3.6640625" style="268" customWidth="1"/>
    <col min="6915" max="6915" width="58.6640625" style="268" customWidth="1"/>
    <col min="6916" max="6916" width="3.6640625" style="268" customWidth="1"/>
    <col min="6917" max="6917" width="6.44140625" style="268" customWidth="1"/>
    <col min="6918" max="6918" width="9.109375" style="268" customWidth="1"/>
    <col min="6919" max="6919" width="11.44140625" style="268" customWidth="1"/>
    <col min="6920" max="7168" width="10" style="268"/>
    <col min="7169" max="7170" width="3.6640625" style="268" customWidth="1"/>
    <col min="7171" max="7171" width="58.6640625" style="268" customWidth="1"/>
    <col min="7172" max="7172" width="3.6640625" style="268" customWidth="1"/>
    <col min="7173" max="7173" width="6.44140625" style="268" customWidth="1"/>
    <col min="7174" max="7174" width="9.109375" style="268" customWidth="1"/>
    <col min="7175" max="7175" width="11.44140625" style="268" customWidth="1"/>
    <col min="7176" max="7424" width="10" style="268"/>
    <col min="7425" max="7426" width="3.6640625" style="268" customWidth="1"/>
    <col min="7427" max="7427" width="58.6640625" style="268" customWidth="1"/>
    <col min="7428" max="7428" width="3.6640625" style="268" customWidth="1"/>
    <col min="7429" max="7429" width="6.44140625" style="268" customWidth="1"/>
    <col min="7430" max="7430" width="9.109375" style="268" customWidth="1"/>
    <col min="7431" max="7431" width="11.44140625" style="268" customWidth="1"/>
    <col min="7432" max="7680" width="10" style="268"/>
    <col min="7681" max="7682" width="3.6640625" style="268" customWidth="1"/>
    <col min="7683" max="7683" width="58.6640625" style="268" customWidth="1"/>
    <col min="7684" max="7684" width="3.6640625" style="268" customWidth="1"/>
    <col min="7685" max="7685" width="6.44140625" style="268" customWidth="1"/>
    <col min="7686" max="7686" width="9.109375" style="268" customWidth="1"/>
    <col min="7687" max="7687" width="11.44140625" style="268" customWidth="1"/>
    <col min="7688" max="7936" width="10" style="268"/>
    <col min="7937" max="7938" width="3.6640625" style="268" customWidth="1"/>
    <col min="7939" max="7939" width="58.6640625" style="268" customWidth="1"/>
    <col min="7940" max="7940" width="3.6640625" style="268" customWidth="1"/>
    <col min="7941" max="7941" width="6.44140625" style="268" customWidth="1"/>
    <col min="7942" max="7942" width="9.109375" style="268" customWidth="1"/>
    <col min="7943" max="7943" width="11.44140625" style="268" customWidth="1"/>
    <col min="7944" max="8192" width="10" style="268"/>
    <col min="8193" max="8194" width="3.6640625" style="268" customWidth="1"/>
    <col min="8195" max="8195" width="58.6640625" style="268" customWidth="1"/>
    <col min="8196" max="8196" width="3.6640625" style="268" customWidth="1"/>
    <col min="8197" max="8197" width="6.44140625" style="268" customWidth="1"/>
    <col min="8198" max="8198" width="9.109375" style="268" customWidth="1"/>
    <col min="8199" max="8199" width="11.44140625" style="268" customWidth="1"/>
    <col min="8200" max="8448" width="10" style="268"/>
    <col min="8449" max="8450" width="3.6640625" style="268" customWidth="1"/>
    <col min="8451" max="8451" width="58.6640625" style="268" customWidth="1"/>
    <col min="8452" max="8452" width="3.6640625" style="268" customWidth="1"/>
    <col min="8453" max="8453" width="6.44140625" style="268" customWidth="1"/>
    <col min="8454" max="8454" width="9.109375" style="268" customWidth="1"/>
    <col min="8455" max="8455" width="11.44140625" style="268" customWidth="1"/>
    <col min="8456" max="8704" width="10" style="268"/>
    <col min="8705" max="8706" width="3.6640625" style="268" customWidth="1"/>
    <col min="8707" max="8707" width="58.6640625" style="268" customWidth="1"/>
    <col min="8708" max="8708" width="3.6640625" style="268" customWidth="1"/>
    <col min="8709" max="8709" width="6.44140625" style="268" customWidth="1"/>
    <col min="8710" max="8710" width="9.109375" style="268" customWidth="1"/>
    <col min="8711" max="8711" width="11.44140625" style="268" customWidth="1"/>
    <col min="8712" max="8960" width="10" style="268"/>
    <col min="8961" max="8962" width="3.6640625" style="268" customWidth="1"/>
    <col min="8963" max="8963" width="58.6640625" style="268" customWidth="1"/>
    <col min="8964" max="8964" width="3.6640625" style="268" customWidth="1"/>
    <col min="8965" max="8965" width="6.44140625" style="268" customWidth="1"/>
    <col min="8966" max="8966" width="9.109375" style="268" customWidth="1"/>
    <col min="8967" max="8967" width="11.44140625" style="268" customWidth="1"/>
    <col min="8968" max="9216" width="10" style="268"/>
    <col min="9217" max="9218" width="3.6640625" style="268" customWidth="1"/>
    <col min="9219" max="9219" width="58.6640625" style="268" customWidth="1"/>
    <col min="9220" max="9220" width="3.6640625" style="268" customWidth="1"/>
    <col min="9221" max="9221" width="6.44140625" style="268" customWidth="1"/>
    <col min="9222" max="9222" width="9.109375" style="268" customWidth="1"/>
    <col min="9223" max="9223" width="11.44140625" style="268" customWidth="1"/>
    <col min="9224" max="9472" width="10" style="268"/>
    <col min="9473" max="9474" width="3.6640625" style="268" customWidth="1"/>
    <col min="9475" max="9475" width="58.6640625" style="268" customWidth="1"/>
    <col min="9476" max="9476" width="3.6640625" style="268" customWidth="1"/>
    <col min="9477" max="9477" width="6.44140625" style="268" customWidth="1"/>
    <col min="9478" max="9478" width="9.109375" style="268" customWidth="1"/>
    <col min="9479" max="9479" width="11.44140625" style="268" customWidth="1"/>
    <col min="9480" max="9728" width="10" style="268"/>
    <col min="9729" max="9730" width="3.6640625" style="268" customWidth="1"/>
    <col min="9731" max="9731" width="58.6640625" style="268" customWidth="1"/>
    <col min="9732" max="9732" width="3.6640625" style="268" customWidth="1"/>
    <col min="9733" max="9733" width="6.44140625" style="268" customWidth="1"/>
    <col min="9734" max="9734" width="9.109375" style="268" customWidth="1"/>
    <col min="9735" max="9735" width="11.44140625" style="268" customWidth="1"/>
    <col min="9736" max="9984" width="10" style="268"/>
    <col min="9985" max="9986" width="3.6640625" style="268" customWidth="1"/>
    <col min="9987" max="9987" width="58.6640625" style="268" customWidth="1"/>
    <col min="9988" max="9988" width="3.6640625" style="268" customWidth="1"/>
    <col min="9989" max="9989" width="6.44140625" style="268" customWidth="1"/>
    <col min="9990" max="9990" width="9.109375" style="268" customWidth="1"/>
    <col min="9991" max="9991" width="11.44140625" style="268" customWidth="1"/>
    <col min="9992" max="10240" width="10" style="268"/>
    <col min="10241" max="10242" width="3.6640625" style="268" customWidth="1"/>
    <col min="10243" max="10243" width="58.6640625" style="268" customWidth="1"/>
    <col min="10244" max="10244" width="3.6640625" style="268" customWidth="1"/>
    <col min="10245" max="10245" width="6.44140625" style="268" customWidth="1"/>
    <col min="10246" max="10246" width="9.109375" style="268" customWidth="1"/>
    <col min="10247" max="10247" width="11.44140625" style="268" customWidth="1"/>
    <col min="10248" max="10496" width="10" style="268"/>
    <col min="10497" max="10498" width="3.6640625" style="268" customWidth="1"/>
    <col min="10499" max="10499" width="58.6640625" style="268" customWidth="1"/>
    <col min="10500" max="10500" width="3.6640625" style="268" customWidth="1"/>
    <col min="10501" max="10501" width="6.44140625" style="268" customWidth="1"/>
    <col min="10502" max="10502" width="9.109375" style="268" customWidth="1"/>
    <col min="10503" max="10503" width="11.44140625" style="268" customWidth="1"/>
    <col min="10504" max="10752" width="10" style="268"/>
    <col min="10753" max="10754" width="3.6640625" style="268" customWidth="1"/>
    <col min="10755" max="10755" width="58.6640625" style="268" customWidth="1"/>
    <col min="10756" max="10756" width="3.6640625" style="268" customWidth="1"/>
    <col min="10757" max="10757" width="6.44140625" style="268" customWidth="1"/>
    <col min="10758" max="10758" width="9.109375" style="268" customWidth="1"/>
    <col min="10759" max="10759" width="11.44140625" style="268" customWidth="1"/>
    <col min="10760" max="11008" width="10" style="268"/>
    <col min="11009" max="11010" width="3.6640625" style="268" customWidth="1"/>
    <col min="11011" max="11011" width="58.6640625" style="268" customWidth="1"/>
    <col min="11012" max="11012" width="3.6640625" style="268" customWidth="1"/>
    <col min="11013" max="11013" width="6.44140625" style="268" customWidth="1"/>
    <col min="11014" max="11014" width="9.109375" style="268" customWidth="1"/>
    <col min="11015" max="11015" width="11.44140625" style="268" customWidth="1"/>
    <col min="11016" max="11264" width="10" style="268"/>
    <col min="11265" max="11266" width="3.6640625" style="268" customWidth="1"/>
    <col min="11267" max="11267" width="58.6640625" style="268" customWidth="1"/>
    <col min="11268" max="11268" width="3.6640625" style="268" customWidth="1"/>
    <col min="11269" max="11269" width="6.44140625" style="268" customWidth="1"/>
    <col min="11270" max="11270" width="9.109375" style="268" customWidth="1"/>
    <col min="11271" max="11271" width="11.44140625" style="268" customWidth="1"/>
    <col min="11272" max="11520" width="10" style="268"/>
    <col min="11521" max="11522" width="3.6640625" style="268" customWidth="1"/>
    <col min="11523" max="11523" width="58.6640625" style="268" customWidth="1"/>
    <col min="11524" max="11524" width="3.6640625" style="268" customWidth="1"/>
    <col min="11525" max="11525" width="6.44140625" style="268" customWidth="1"/>
    <col min="11526" max="11526" width="9.109375" style="268" customWidth="1"/>
    <col min="11527" max="11527" width="11.44140625" style="268" customWidth="1"/>
    <col min="11528" max="11776" width="10" style="268"/>
    <col min="11777" max="11778" width="3.6640625" style="268" customWidth="1"/>
    <col min="11779" max="11779" width="58.6640625" style="268" customWidth="1"/>
    <col min="11780" max="11780" width="3.6640625" style="268" customWidth="1"/>
    <col min="11781" max="11781" width="6.44140625" style="268" customWidth="1"/>
    <col min="11782" max="11782" width="9.109375" style="268" customWidth="1"/>
    <col min="11783" max="11783" width="11.44140625" style="268" customWidth="1"/>
    <col min="11784" max="12032" width="10" style="268"/>
    <col min="12033" max="12034" width="3.6640625" style="268" customWidth="1"/>
    <col min="12035" max="12035" width="58.6640625" style="268" customWidth="1"/>
    <col min="12036" max="12036" width="3.6640625" style="268" customWidth="1"/>
    <col min="12037" max="12037" width="6.44140625" style="268" customWidth="1"/>
    <col min="12038" max="12038" width="9.109375" style="268" customWidth="1"/>
    <col min="12039" max="12039" width="11.44140625" style="268" customWidth="1"/>
    <col min="12040" max="12288" width="10" style="268"/>
    <col min="12289" max="12290" width="3.6640625" style="268" customWidth="1"/>
    <col min="12291" max="12291" width="58.6640625" style="268" customWidth="1"/>
    <col min="12292" max="12292" width="3.6640625" style="268" customWidth="1"/>
    <col min="12293" max="12293" width="6.44140625" style="268" customWidth="1"/>
    <col min="12294" max="12294" width="9.109375" style="268" customWidth="1"/>
    <col min="12295" max="12295" width="11.44140625" style="268" customWidth="1"/>
    <col min="12296" max="12544" width="10" style="268"/>
    <col min="12545" max="12546" width="3.6640625" style="268" customWidth="1"/>
    <col min="12547" max="12547" width="58.6640625" style="268" customWidth="1"/>
    <col min="12548" max="12548" width="3.6640625" style="268" customWidth="1"/>
    <col min="12549" max="12549" width="6.44140625" style="268" customWidth="1"/>
    <col min="12550" max="12550" width="9.109375" style="268" customWidth="1"/>
    <col min="12551" max="12551" width="11.44140625" style="268" customWidth="1"/>
    <col min="12552" max="12800" width="10" style="268"/>
    <col min="12801" max="12802" width="3.6640625" style="268" customWidth="1"/>
    <col min="12803" max="12803" width="58.6640625" style="268" customWidth="1"/>
    <col min="12804" max="12804" width="3.6640625" style="268" customWidth="1"/>
    <col min="12805" max="12805" width="6.44140625" style="268" customWidth="1"/>
    <col min="12806" max="12806" width="9.109375" style="268" customWidth="1"/>
    <col min="12807" max="12807" width="11.44140625" style="268" customWidth="1"/>
    <col min="12808" max="13056" width="10" style="268"/>
    <col min="13057" max="13058" width="3.6640625" style="268" customWidth="1"/>
    <col min="13059" max="13059" width="58.6640625" style="268" customWidth="1"/>
    <col min="13060" max="13060" width="3.6640625" style="268" customWidth="1"/>
    <col min="13061" max="13061" width="6.44140625" style="268" customWidth="1"/>
    <col min="13062" max="13062" width="9.109375" style="268" customWidth="1"/>
    <col min="13063" max="13063" width="11.44140625" style="268" customWidth="1"/>
    <col min="13064" max="13312" width="10" style="268"/>
    <col min="13313" max="13314" width="3.6640625" style="268" customWidth="1"/>
    <col min="13315" max="13315" width="58.6640625" style="268" customWidth="1"/>
    <col min="13316" max="13316" width="3.6640625" style="268" customWidth="1"/>
    <col min="13317" max="13317" width="6.44140625" style="268" customWidth="1"/>
    <col min="13318" max="13318" width="9.109375" style="268" customWidth="1"/>
    <col min="13319" max="13319" width="11.44140625" style="268" customWidth="1"/>
    <col min="13320" max="13568" width="10" style="268"/>
    <col min="13569" max="13570" width="3.6640625" style="268" customWidth="1"/>
    <col min="13571" max="13571" width="58.6640625" style="268" customWidth="1"/>
    <col min="13572" max="13572" width="3.6640625" style="268" customWidth="1"/>
    <col min="13573" max="13573" width="6.44140625" style="268" customWidth="1"/>
    <col min="13574" max="13574" width="9.109375" style="268" customWidth="1"/>
    <col min="13575" max="13575" width="11.44140625" style="268" customWidth="1"/>
    <col min="13576" max="13824" width="10" style="268"/>
    <col min="13825" max="13826" width="3.6640625" style="268" customWidth="1"/>
    <col min="13827" max="13827" width="58.6640625" style="268" customWidth="1"/>
    <col min="13828" max="13828" width="3.6640625" style="268" customWidth="1"/>
    <col min="13829" max="13829" width="6.44140625" style="268" customWidth="1"/>
    <col min="13830" max="13830" width="9.109375" style="268" customWidth="1"/>
    <col min="13831" max="13831" width="11.44140625" style="268" customWidth="1"/>
    <col min="13832" max="14080" width="10" style="268"/>
    <col min="14081" max="14082" width="3.6640625" style="268" customWidth="1"/>
    <col min="14083" max="14083" width="58.6640625" style="268" customWidth="1"/>
    <col min="14084" max="14084" width="3.6640625" style="268" customWidth="1"/>
    <col min="14085" max="14085" width="6.44140625" style="268" customWidth="1"/>
    <col min="14086" max="14086" width="9.109375" style="268" customWidth="1"/>
    <col min="14087" max="14087" width="11.44140625" style="268" customWidth="1"/>
    <col min="14088" max="14336" width="10" style="268"/>
    <col min="14337" max="14338" width="3.6640625" style="268" customWidth="1"/>
    <col min="14339" max="14339" width="58.6640625" style="268" customWidth="1"/>
    <col min="14340" max="14340" width="3.6640625" style="268" customWidth="1"/>
    <col min="14341" max="14341" width="6.44140625" style="268" customWidth="1"/>
    <col min="14342" max="14342" width="9.109375" style="268" customWidth="1"/>
    <col min="14343" max="14343" width="11.44140625" style="268" customWidth="1"/>
    <col min="14344" max="14592" width="10" style="268"/>
    <col min="14593" max="14594" width="3.6640625" style="268" customWidth="1"/>
    <col min="14595" max="14595" width="58.6640625" style="268" customWidth="1"/>
    <col min="14596" max="14596" width="3.6640625" style="268" customWidth="1"/>
    <col min="14597" max="14597" width="6.44140625" style="268" customWidth="1"/>
    <col min="14598" max="14598" width="9.109375" style="268" customWidth="1"/>
    <col min="14599" max="14599" width="11.44140625" style="268" customWidth="1"/>
    <col min="14600" max="14848" width="10" style="268"/>
    <col min="14849" max="14850" width="3.6640625" style="268" customWidth="1"/>
    <col min="14851" max="14851" width="58.6640625" style="268" customWidth="1"/>
    <col min="14852" max="14852" width="3.6640625" style="268" customWidth="1"/>
    <col min="14853" max="14853" width="6.44140625" style="268" customWidth="1"/>
    <col min="14854" max="14854" width="9.109375" style="268" customWidth="1"/>
    <col min="14855" max="14855" width="11.44140625" style="268" customWidth="1"/>
    <col min="14856" max="15104" width="10" style="268"/>
    <col min="15105" max="15106" width="3.6640625" style="268" customWidth="1"/>
    <col min="15107" max="15107" width="58.6640625" style="268" customWidth="1"/>
    <col min="15108" max="15108" width="3.6640625" style="268" customWidth="1"/>
    <col min="15109" max="15109" width="6.44140625" style="268" customWidth="1"/>
    <col min="15110" max="15110" width="9.109375" style="268" customWidth="1"/>
    <col min="15111" max="15111" width="11.44140625" style="268" customWidth="1"/>
    <col min="15112" max="15360" width="10" style="268"/>
    <col min="15361" max="15362" width="3.6640625" style="268" customWidth="1"/>
    <col min="15363" max="15363" width="58.6640625" style="268" customWidth="1"/>
    <col min="15364" max="15364" width="3.6640625" style="268" customWidth="1"/>
    <col min="15365" max="15365" width="6.44140625" style="268" customWidth="1"/>
    <col min="15366" max="15366" width="9.109375" style="268" customWidth="1"/>
    <col min="15367" max="15367" width="11.44140625" style="268" customWidth="1"/>
    <col min="15368" max="15616" width="10" style="268"/>
    <col min="15617" max="15618" width="3.6640625" style="268" customWidth="1"/>
    <col min="15619" max="15619" width="58.6640625" style="268" customWidth="1"/>
    <col min="15620" max="15620" width="3.6640625" style="268" customWidth="1"/>
    <col min="15621" max="15621" width="6.44140625" style="268" customWidth="1"/>
    <col min="15622" max="15622" width="9.109375" style="268" customWidth="1"/>
    <col min="15623" max="15623" width="11.44140625" style="268" customWidth="1"/>
    <col min="15624" max="15872" width="10" style="268"/>
    <col min="15873" max="15874" width="3.6640625" style="268" customWidth="1"/>
    <col min="15875" max="15875" width="58.6640625" style="268" customWidth="1"/>
    <col min="15876" max="15876" width="3.6640625" style="268" customWidth="1"/>
    <col min="15877" max="15877" width="6.44140625" style="268" customWidth="1"/>
    <col min="15878" max="15878" width="9.109375" style="268" customWidth="1"/>
    <col min="15879" max="15879" width="11.44140625" style="268" customWidth="1"/>
    <col min="15880" max="16128" width="10" style="268"/>
    <col min="16129" max="16130" width="3.6640625" style="268" customWidth="1"/>
    <col min="16131" max="16131" width="58.6640625" style="268" customWidth="1"/>
    <col min="16132" max="16132" width="3.6640625" style="268" customWidth="1"/>
    <col min="16133" max="16133" width="6.44140625" style="268" customWidth="1"/>
    <col min="16134" max="16134" width="9.109375" style="268" customWidth="1"/>
    <col min="16135" max="16135" width="11.44140625" style="268" customWidth="1"/>
    <col min="16136" max="16384" width="10" style="268"/>
  </cols>
  <sheetData>
    <row r="1" spans="1:10" x14ac:dyDescent="0.25">
      <c r="A1" s="321"/>
      <c r="B1" s="322"/>
      <c r="C1" s="322" t="s">
        <v>275</v>
      </c>
      <c r="D1" s="322"/>
      <c r="E1" s="323"/>
      <c r="F1" s="324"/>
      <c r="G1" s="325"/>
      <c r="H1" s="326"/>
    </row>
    <row r="2" spans="1:10" x14ac:dyDescent="0.25">
      <c r="A2" s="327"/>
      <c r="B2" s="327"/>
      <c r="C2" s="327"/>
      <c r="D2" s="327"/>
      <c r="E2" s="328"/>
      <c r="F2" s="329"/>
      <c r="G2" s="329"/>
      <c r="H2" s="326"/>
    </row>
    <row r="3" spans="1:10" x14ac:dyDescent="0.25">
      <c r="A3" s="330" t="s">
        <v>276</v>
      </c>
      <c r="B3" s="330" t="s">
        <v>277</v>
      </c>
      <c r="C3" s="330" t="s">
        <v>3</v>
      </c>
      <c r="D3" s="331" t="s">
        <v>4</v>
      </c>
      <c r="E3" s="331" t="s">
        <v>278</v>
      </c>
      <c r="F3" s="332" t="s">
        <v>279</v>
      </c>
      <c r="G3" s="332" t="s">
        <v>7</v>
      </c>
      <c r="H3" s="326"/>
      <c r="I3" s="269"/>
      <c r="J3" s="269"/>
    </row>
    <row r="4" spans="1:10" x14ac:dyDescent="0.25">
      <c r="A4" s="333"/>
      <c r="B4" s="334"/>
      <c r="C4" s="334" t="s">
        <v>280</v>
      </c>
      <c r="D4" s="335"/>
      <c r="E4" s="334"/>
      <c r="F4" s="336"/>
      <c r="G4" s="337"/>
      <c r="H4" s="338"/>
      <c r="I4" s="269"/>
      <c r="J4" s="269"/>
    </row>
    <row r="5" spans="1:10" x14ac:dyDescent="0.25">
      <c r="A5" s="338"/>
      <c r="B5" s="338"/>
      <c r="C5" s="328"/>
      <c r="D5" s="331"/>
      <c r="E5" s="328"/>
      <c r="F5" s="329"/>
      <c r="G5" s="329"/>
      <c r="H5" s="338"/>
      <c r="I5" s="269"/>
      <c r="J5" s="269"/>
    </row>
    <row r="6" spans="1:10" x14ac:dyDescent="0.25">
      <c r="A6" s="328" t="s">
        <v>281</v>
      </c>
      <c r="B6" s="339" t="s">
        <v>282</v>
      </c>
      <c r="C6" s="328" t="s">
        <v>771</v>
      </c>
      <c r="D6" s="331" t="s">
        <v>283</v>
      </c>
      <c r="E6" s="328">
        <v>3</v>
      </c>
      <c r="F6" s="270"/>
      <c r="G6" s="329">
        <f>(E6*F6)</f>
        <v>0</v>
      </c>
      <c r="H6" s="340"/>
      <c r="I6" s="269"/>
      <c r="J6" s="269"/>
    </row>
    <row r="7" spans="1:10" ht="40.799999999999997" x14ac:dyDescent="0.25">
      <c r="A7" s="338" t="s">
        <v>284</v>
      </c>
      <c r="B7" s="341" t="s">
        <v>282</v>
      </c>
      <c r="C7" s="342" t="s">
        <v>494</v>
      </c>
      <c r="D7" s="343" t="s">
        <v>283</v>
      </c>
      <c r="E7" s="338">
        <v>1</v>
      </c>
      <c r="F7" s="273"/>
      <c r="G7" s="340">
        <f>(E7*F7)</f>
        <v>0</v>
      </c>
      <c r="H7" s="340"/>
      <c r="I7" s="269"/>
      <c r="J7" s="269"/>
    </row>
    <row r="8" spans="1:10" ht="24.9" customHeight="1" x14ac:dyDescent="0.25">
      <c r="A8" s="338" t="s">
        <v>285</v>
      </c>
      <c r="B8" s="341" t="s">
        <v>282</v>
      </c>
      <c r="C8" s="342" t="s">
        <v>772</v>
      </c>
      <c r="D8" s="343" t="s">
        <v>283</v>
      </c>
      <c r="E8" s="338">
        <v>1</v>
      </c>
      <c r="F8" s="273"/>
      <c r="G8" s="340">
        <f>(E8*F8)</f>
        <v>0</v>
      </c>
      <c r="H8" s="326"/>
      <c r="I8" s="269"/>
      <c r="J8" s="269"/>
    </row>
    <row r="9" spans="1:10" x14ac:dyDescent="0.25">
      <c r="A9" s="344" t="s">
        <v>286</v>
      </c>
      <c r="B9" s="339" t="s">
        <v>282</v>
      </c>
      <c r="C9" s="344" t="s">
        <v>288</v>
      </c>
      <c r="D9" s="331" t="s">
        <v>283</v>
      </c>
      <c r="E9" s="344">
        <v>1</v>
      </c>
      <c r="F9" s="274"/>
      <c r="G9" s="329">
        <f>(E9*F9)</f>
        <v>0</v>
      </c>
      <c r="H9" s="326"/>
      <c r="J9" s="269"/>
    </row>
    <row r="10" spans="1:10" x14ac:dyDescent="0.25">
      <c r="A10" s="342"/>
      <c r="B10" s="346"/>
      <c r="C10" s="342"/>
      <c r="D10" s="343"/>
      <c r="E10" s="338"/>
      <c r="F10" s="273"/>
      <c r="G10" s="340"/>
      <c r="H10" s="326"/>
      <c r="J10" s="269"/>
    </row>
    <row r="11" spans="1:10" x14ac:dyDescent="0.25">
      <c r="A11" s="342"/>
      <c r="B11" s="346"/>
      <c r="C11" s="342"/>
      <c r="D11" s="343"/>
      <c r="E11" s="338"/>
      <c r="F11" s="273"/>
      <c r="G11" s="347">
        <f>SUM(G6:G10)</f>
        <v>0</v>
      </c>
      <c r="H11" s="326"/>
      <c r="J11" s="269"/>
    </row>
    <row r="12" spans="1:10" x14ac:dyDescent="0.25">
      <c r="A12" s="338"/>
      <c r="B12" s="341"/>
      <c r="C12" s="342"/>
      <c r="D12" s="343"/>
      <c r="E12" s="338"/>
      <c r="F12" s="273"/>
      <c r="G12" s="348"/>
      <c r="H12" s="340"/>
      <c r="J12" s="269"/>
    </row>
    <row r="13" spans="1:10" x14ac:dyDescent="0.25">
      <c r="A13" s="333"/>
      <c r="B13" s="334"/>
      <c r="C13" s="334" t="s">
        <v>289</v>
      </c>
      <c r="D13" s="335"/>
      <c r="E13" s="334"/>
      <c r="F13" s="272"/>
      <c r="G13" s="337"/>
      <c r="H13" s="326"/>
      <c r="J13" s="269"/>
    </row>
    <row r="14" spans="1:10" x14ac:dyDescent="0.25">
      <c r="A14" s="338"/>
      <c r="B14" s="338"/>
      <c r="C14" s="338"/>
      <c r="D14" s="349"/>
      <c r="E14" s="338"/>
      <c r="F14" s="273"/>
      <c r="G14" s="340"/>
      <c r="H14" s="326"/>
      <c r="J14" s="269"/>
    </row>
    <row r="15" spans="1:10" x14ac:dyDescent="0.25">
      <c r="A15" s="350" t="s">
        <v>281</v>
      </c>
      <c r="B15" s="351" t="s">
        <v>282</v>
      </c>
      <c r="C15" s="350" t="s">
        <v>290</v>
      </c>
      <c r="D15" s="331" t="s">
        <v>283</v>
      </c>
      <c r="E15" s="350">
        <v>10</v>
      </c>
      <c r="F15" s="277"/>
      <c r="G15" s="352">
        <f t="shared" ref="G15:G52" si="0">E15*F15</f>
        <v>0</v>
      </c>
      <c r="H15" s="348"/>
      <c r="J15" s="269"/>
    </row>
    <row r="16" spans="1:10" x14ac:dyDescent="0.25">
      <c r="A16" s="350" t="s">
        <v>284</v>
      </c>
      <c r="B16" s="351" t="s">
        <v>282</v>
      </c>
      <c r="C16" s="350" t="s">
        <v>291</v>
      </c>
      <c r="D16" s="331" t="s">
        <v>283</v>
      </c>
      <c r="E16" s="350">
        <v>2</v>
      </c>
      <c r="F16" s="277"/>
      <c r="G16" s="352">
        <f t="shared" si="0"/>
        <v>0</v>
      </c>
      <c r="H16" s="348"/>
      <c r="J16" s="269"/>
    </row>
    <row r="17" spans="1:10" x14ac:dyDescent="0.25">
      <c r="A17" s="350" t="s">
        <v>285</v>
      </c>
      <c r="B17" s="351" t="s">
        <v>282</v>
      </c>
      <c r="C17" s="350" t="s">
        <v>292</v>
      </c>
      <c r="D17" s="331" t="s">
        <v>283</v>
      </c>
      <c r="E17" s="350">
        <v>14</v>
      </c>
      <c r="F17" s="277"/>
      <c r="G17" s="352">
        <f t="shared" si="0"/>
        <v>0</v>
      </c>
      <c r="H17" s="348"/>
      <c r="J17" s="269"/>
    </row>
    <row r="18" spans="1:10" x14ac:dyDescent="0.25">
      <c r="A18" s="350" t="s">
        <v>286</v>
      </c>
      <c r="B18" s="351" t="s">
        <v>282</v>
      </c>
      <c r="C18" s="350" t="s">
        <v>495</v>
      </c>
      <c r="D18" s="331" t="s">
        <v>283</v>
      </c>
      <c r="E18" s="350">
        <v>3</v>
      </c>
      <c r="F18" s="277"/>
      <c r="G18" s="352">
        <f t="shared" si="0"/>
        <v>0</v>
      </c>
      <c r="H18" s="326"/>
      <c r="J18" s="269"/>
    </row>
    <row r="19" spans="1:10" x14ac:dyDescent="0.25">
      <c r="A19" s="350" t="s">
        <v>287</v>
      </c>
      <c r="B19" s="351" t="s">
        <v>282</v>
      </c>
      <c r="C19" s="350" t="s">
        <v>293</v>
      </c>
      <c r="D19" s="331" t="s">
        <v>283</v>
      </c>
      <c r="E19" s="350">
        <v>1</v>
      </c>
      <c r="F19" s="277"/>
      <c r="G19" s="352">
        <f t="shared" si="0"/>
        <v>0</v>
      </c>
      <c r="H19" s="326"/>
      <c r="J19" s="269"/>
    </row>
    <row r="20" spans="1:10" x14ac:dyDescent="0.25">
      <c r="A20" s="350" t="s">
        <v>294</v>
      </c>
      <c r="B20" s="351" t="s">
        <v>282</v>
      </c>
      <c r="C20" s="350" t="s">
        <v>295</v>
      </c>
      <c r="D20" s="331" t="s">
        <v>283</v>
      </c>
      <c r="E20" s="350">
        <v>4</v>
      </c>
      <c r="F20" s="277"/>
      <c r="G20" s="352">
        <f t="shared" si="0"/>
        <v>0</v>
      </c>
      <c r="H20" s="328"/>
      <c r="J20" s="269"/>
    </row>
    <row r="21" spans="1:10" x14ac:dyDescent="0.25">
      <c r="A21" s="350" t="s">
        <v>296</v>
      </c>
      <c r="B21" s="351" t="s">
        <v>282</v>
      </c>
      <c r="C21" s="350" t="s">
        <v>297</v>
      </c>
      <c r="D21" s="331" t="s">
        <v>283</v>
      </c>
      <c r="E21" s="350">
        <v>27</v>
      </c>
      <c r="F21" s="278"/>
      <c r="G21" s="352">
        <f t="shared" si="0"/>
        <v>0</v>
      </c>
      <c r="H21" s="328"/>
      <c r="J21" s="269"/>
    </row>
    <row r="22" spans="1:10" x14ac:dyDescent="0.25">
      <c r="A22" s="350" t="s">
        <v>298</v>
      </c>
      <c r="B22" s="351" t="s">
        <v>282</v>
      </c>
      <c r="C22" s="350" t="s">
        <v>299</v>
      </c>
      <c r="D22" s="331" t="s">
        <v>283</v>
      </c>
      <c r="E22" s="350">
        <v>10</v>
      </c>
      <c r="F22" s="278"/>
      <c r="G22" s="352">
        <f t="shared" si="0"/>
        <v>0</v>
      </c>
      <c r="H22" s="328"/>
      <c r="J22" s="269"/>
    </row>
    <row r="23" spans="1:10" x14ac:dyDescent="0.25">
      <c r="A23" s="350" t="s">
        <v>300</v>
      </c>
      <c r="B23" s="351" t="s">
        <v>282</v>
      </c>
      <c r="C23" s="350" t="s">
        <v>301</v>
      </c>
      <c r="D23" s="331" t="s">
        <v>283</v>
      </c>
      <c r="E23" s="350">
        <v>6</v>
      </c>
      <c r="F23" s="278"/>
      <c r="G23" s="352">
        <f t="shared" si="0"/>
        <v>0</v>
      </c>
      <c r="H23" s="328"/>
      <c r="J23" s="269"/>
    </row>
    <row r="24" spans="1:10" x14ac:dyDescent="0.25">
      <c r="A24" s="350" t="s">
        <v>302</v>
      </c>
      <c r="B24" s="351" t="s">
        <v>282</v>
      </c>
      <c r="C24" s="344" t="s">
        <v>773</v>
      </c>
      <c r="D24" s="331" t="s">
        <v>283</v>
      </c>
      <c r="E24" s="344">
        <v>7</v>
      </c>
      <c r="F24" s="274"/>
      <c r="G24" s="352">
        <f t="shared" si="0"/>
        <v>0</v>
      </c>
      <c r="H24" s="328"/>
      <c r="J24" s="269"/>
    </row>
    <row r="25" spans="1:10" x14ac:dyDescent="0.25">
      <c r="A25" s="350" t="s">
        <v>303</v>
      </c>
      <c r="B25" s="351" t="s">
        <v>282</v>
      </c>
      <c r="C25" s="350" t="s">
        <v>774</v>
      </c>
      <c r="D25" s="331" t="s">
        <v>283</v>
      </c>
      <c r="E25" s="344">
        <v>1</v>
      </c>
      <c r="F25" s="274"/>
      <c r="G25" s="352">
        <f t="shared" si="0"/>
        <v>0</v>
      </c>
      <c r="H25" s="329"/>
      <c r="J25" s="269"/>
    </row>
    <row r="26" spans="1:10" x14ac:dyDescent="0.25">
      <c r="A26" s="350" t="s">
        <v>304</v>
      </c>
      <c r="B26" s="351" t="s">
        <v>282</v>
      </c>
      <c r="C26" s="350" t="s">
        <v>305</v>
      </c>
      <c r="D26" s="331" t="s">
        <v>283</v>
      </c>
      <c r="E26" s="350">
        <v>95</v>
      </c>
      <c r="F26" s="278"/>
      <c r="G26" s="352">
        <f t="shared" si="0"/>
        <v>0</v>
      </c>
      <c r="H26" s="329"/>
      <c r="J26" s="269"/>
    </row>
    <row r="27" spans="1:10" x14ac:dyDescent="0.25">
      <c r="A27" s="350" t="s">
        <v>306</v>
      </c>
      <c r="B27" s="351" t="s">
        <v>282</v>
      </c>
      <c r="C27" s="350" t="s">
        <v>307</v>
      </c>
      <c r="D27" s="331" t="s">
        <v>283</v>
      </c>
      <c r="E27" s="350">
        <v>38</v>
      </c>
      <c r="F27" s="278"/>
      <c r="G27" s="352">
        <f t="shared" si="0"/>
        <v>0</v>
      </c>
      <c r="H27" s="328"/>
      <c r="J27" s="269"/>
    </row>
    <row r="28" spans="1:10" x14ac:dyDescent="0.25">
      <c r="A28" s="350" t="s">
        <v>308</v>
      </c>
      <c r="B28" s="351" t="s">
        <v>282</v>
      </c>
      <c r="C28" s="350" t="s">
        <v>309</v>
      </c>
      <c r="D28" s="331" t="s">
        <v>283</v>
      </c>
      <c r="E28" s="350">
        <v>15</v>
      </c>
      <c r="F28" s="278"/>
      <c r="G28" s="352">
        <f t="shared" si="0"/>
        <v>0</v>
      </c>
      <c r="H28" s="328"/>
      <c r="J28" s="269"/>
    </row>
    <row r="29" spans="1:10" x14ac:dyDescent="0.25">
      <c r="A29" s="342" t="s">
        <v>310</v>
      </c>
      <c r="B29" s="346" t="s">
        <v>282</v>
      </c>
      <c r="C29" s="350" t="s">
        <v>311</v>
      </c>
      <c r="D29" s="331" t="s">
        <v>283</v>
      </c>
      <c r="E29" s="350">
        <v>4</v>
      </c>
      <c r="F29" s="278"/>
      <c r="G29" s="352">
        <f t="shared" si="0"/>
        <v>0</v>
      </c>
      <c r="H29" s="329"/>
      <c r="J29" s="269"/>
    </row>
    <row r="30" spans="1:10" x14ac:dyDescent="0.25">
      <c r="A30" s="342" t="s">
        <v>312</v>
      </c>
      <c r="B30" s="346" t="s">
        <v>282</v>
      </c>
      <c r="C30" s="350" t="s">
        <v>313</v>
      </c>
      <c r="D30" s="331" t="s">
        <v>283</v>
      </c>
      <c r="E30" s="350">
        <v>5</v>
      </c>
      <c r="F30" s="277"/>
      <c r="G30" s="352">
        <f t="shared" si="0"/>
        <v>0</v>
      </c>
      <c r="H30" s="328"/>
      <c r="J30" s="269"/>
    </row>
    <row r="31" spans="1:10" x14ac:dyDescent="0.25">
      <c r="A31" s="350" t="s">
        <v>314</v>
      </c>
      <c r="B31" s="351" t="s">
        <v>282</v>
      </c>
      <c r="C31" s="350" t="s">
        <v>315</v>
      </c>
      <c r="D31" s="331" t="s">
        <v>283</v>
      </c>
      <c r="E31" s="350">
        <v>3</v>
      </c>
      <c r="F31" s="277"/>
      <c r="G31" s="352">
        <f t="shared" si="0"/>
        <v>0</v>
      </c>
      <c r="H31" s="354"/>
      <c r="I31" s="269"/>
      <c r="J31" s="269"/>
    </row>
    <row r="32" spans="1:10" x14ac:dyDescent="0.25">
      <c r="A32" s="350" t="s">
        <v>316</v>
      </c>
      <c r="B32" s="351" t="s">
        <v>282</v>
      </c>
      <c r="C32" s="350" t="s">
        <v>317</v>
      </c>
      <c r="D32" s="331" t="s">
        <v>73</v>
      </c>
      <c r="E32" s="350">
        <v>10</v>
      </c>
      <c r="F32" s="277"/>
      <c r="G32" s="352">
        <f t="shared" si="0"/>
        <v>0</v>
      </c>
      <c r="H32" s="355"/>
      <c r="I32" s="269"/>
      <c r="J32" s="269"/>
    </row>
    <row r="33" spans="1:10" x14ac:dyDescent="0.25">
      <c r="A33" s="350" t="s">
        <v>318</v>
      </c>
      <c r="B33" s="351" t="s">
        <v>282</v>
      </c>
      <c r="C33" s="350" t="s">
        <v>319</v>
      </c>
      <c r="D33" s="331" t="s">
        <v>73</v>
      </c>
      <c r="E33" s="356">
        <v>15</v>
      </c>
      <c r="F33" s="277"/>
      <c r="G33" s="352">
        <f t="shared" si="0"/>
        <v>0</v>
      </c>
      <c r="H33" s="355"/>
      <c r="I33" s="269"/>
      <c r="J33" s="269"/>
    </row>
    <row r="34" spans="1:10" x14ac:dyDescent="0.25">
      <c r="A34" s="350" t="s">
        <v>320</v>
      </c>
      <c r="B34" s="351" t="s">
        <v>282</v>
      </c>
      <c r="C34" s="350" t="s">
        <v>496</v>
      </c>
      <c r="D34" s="331" t="s">
        <v>73</v>
      </c>
      <c r="E34" s="356">
        <v>10</v>
      </c>
      <c r="F34" s="277"/>
      <c r="G34" s="352">
        <f t="shared" si="0"/>
        <v>0</v>
      </c>
      <c r="H34" s="357"/>
      <c r="J34" s="269"/>
    </row>
    <row r="35" spans="1:10" x14ac:dyDescent="0.25">
      <c r="A35" s="350" t="s">
        <v>321</v>
      </c>
      <c r="B35" s="351" t="s">
        <v>282</v>
      </c>
      <c r="C35" s="350" t="s">
        <v>497</v>
      </c>
      <c r="D35" s="331" t="s">
        <v>73</v>
      </c>
      <c r="E35" s="356">
        <v>5</v>
      </c>
      <c r="F35" s="277"/>
      <c r="G35" s="352">
        <f t="shared" si="0"/>
        <v>0</v>
      </c>
      <c r="H35" s="357"/>
      <c r="J35" s="269"/>
    </row>
    <row r="36" spans="1:10" x14ac:dyDescent="0.25">
      <c r="A36" s="350" t="s">
        <v>322</v>
      </c>
      <c r="B36" s="351" t="s">
        <v>282</v>
      </c>
      <c r="C36" s="350" t="s">
        <v>775</v>
      </c>
      <c r="D36" s="331" t="s">
        <v>73</v>
      </c>
      <c r="E36" s="350">
        <v>15</v>
      </c>
      <c r="F36" s="277"/>
      <c r="G36" s="352">
        <f t="shared" si="0"/>
        <v>0</v>
      </c>
      <c r="H36" s="354"/>
      <c r="J36" s="269"/>
    </row>
    <row r="37" spans="1:10" x14ac:dyDescent="0.25">
      <c r="A37" s="350" t="s">
        <v>323</v>
      </c>
      <c r="B37" s="351" t="s">
        <v>282</v>
      </c>
      <c r="C37" s="350" t="s">
        <v>776</v>
      </c>
      <c r="D37" s="331" t="s">
        <v>73</v>
      </c>
      <c r="E37" s="350">
        <v>10</v>
      </c>
      <c r="F37" s="277"/>
      <c r="G37" s="352">
        <f t="shared" si="0"/>
        <v>0</v>
      </c>
      <c r="H37" s="354"/>
      <c r="J37" s="269"/>
    </row>
    <row r="38" spans="1:10" x14ac:dyDescent="0.25">
      <c r="A38" s="350" t="s">
        <v>324</v>
      </c>
      <c r="B38" s="351" t="s">
        <v>282</v>
      </c>
      <c r="C38" s="350" t="s">
        <v>325</v>
      </c>
      <c r="D38" s="331" t="s">
        <v>283</v>
      </c>
      <c r="E38" s="344">
        <v>670</v>
      </c>
      <c r="F38" s="274"/>
      <c r="G38" s="352">
        <f t="shared" si="0"/>
        <v>0</v>
      </c>
      <c r="H38" s="354"/>
      <c r="J38" s="269"/>
    </row>
    <row r="39" spans="1:10" x14ac:dyDescent="0.25">
      <c r="A39" s="350" t="s">
        <v>326</v>
      </c>
      <c r="B39" s="351" t="s">
        <v>282</v>
      </c>
      <c r="C39" s="350" t="s">
        <v>327</v>
      </c>
      <c r="D39" s="331" t="s">
        <v>283</v>
      </c>
      <c r="E39" s="344">
        <v>670</v>
      </c>
      <c r="F39" s="274"/>
      <c r="G39" s="352">
        <f t="shared" si="0"/>
        <v>0</v>
      </c>
      <c r="H39" s="354"/>
    </row>
    <row r="40" spans="1:10" x14ac:dyDescent="0.25">
      <c r="A40" s="344" t="s">
        <v>328</v>
      </c>
      <c r="B40" s="351" t="s">
        <v>282</v>
      </c>
      <c r="C40" s="344" t="s">
        <v>329</v>
      </c>
      <c r="D40" s="331" t="s">
        <v>283</v>
      </c>
      <c r="E40" s="344">
        <v>5</v>
      </c>
      <c r="F40" s="274"/>
      <c r="G40" s="352">
        <f t="shared" si="0"/>
        <v>0</v>
      </c>
      <c r="H40" s="354"/>
      <c r="J40" s="269"/>
    </row>
    <row r="41" spans="1:10" x14ac:dyDescent="0.25">
      <c r="A41" s="344" t="s">
        <v>330</v>
      </c>
      <c r="B41" s="351" t="s">
        <v>282</v>
      </c>
      <c r="C41" s="350" t="s">
        <v>331</v>
      </c>
      <c r="D41" s="331" t="s">
        <v>283</v>
      </c>
      <c r="E41" s="344">
        <v>320</v>
      </c>
      <c r="F41" s="274"/>
      <c r="G41" s="352">
        <f t="shared" si="0"/>
        <v>0</v>
      </c>
      <c r="H41" s="354"/>
      <c r="J41" s="269"/>
    </row>
    <row r="42" spans="1:10" x14ac:dyDescent="0.25">
      <c r="A42" s="344" t="s">
        <v>332</v>
      </c>
      <c r="B42" s="351" t="s">
        <v>282</v>
      </c>
      <c r="C42" s="350" t="s">
        <v>333</v>
      </c>
      <c r="D42" s="331" t="s">
        <v>283</v>
      </c>
      <c r="E42" s="344">
        <v>12</v>
      </c>
      <c r="F42" s="274"/>
      <c r="G42" s="352">
        <f t="shared" si="0"/>
        <v>0</v>
      </c>
      <c r="H42" s="358"/>
      <c r="J42" s="269"/>
    </row>
    <row r="43" spans="1:10" x14ac:dyDescent="0.25">
      <c r="A43" s="344" t="s">
        <v>334</v>
      </c>
      <c r="B43" s="351" t="s">
        <v>282</v>
      </c>
      <c r="C43" s="350" t="s">
        <v>335</v>
      </c>
      <c r="D43" s="331" t="s">
        <v>283</v>
      </c>
      <c r="E43" s="344">
        <v>12</v>
      </c>
      <c r="F43" s="274"/>
      <c r="G43" s="352">
        <f t="shared" si="0"/>
        <v>0</v>
      </c>
      <c r="H43" s="358"/>
      <c r="J43" s="269"/>
    </row>
    <row r="44" spans="1:10" x14ac:dyDescent="0.25">
      <c r="A44" s="344" t="s">
        <v>336</v>
      </c>
      <c r="B44" s="351" t="s">
        <v>282</v>
      </c>
      <c r="C44" s="359" t="s">
        <v>337</v>
      </c>
      <c r="D44" s="331" t="s">
        <v>283</v>
      </c>
      <c r="E44" s="360">
        <v>3</v>
      </c>
      <c r="F44" s="274"/>
      <c r="G44" s="352">
        <f t="shared" si="0"/>
        <v>0</v>
      </c>
      <c r="H44" s="358"/>
      <c r="J44" s="269"/>
    </row>
    <row r="45" spans="1:10" x14ac:dyDescent="0.25">
      <c r="A45" s="344" t="s">
        <v>338</v>
      </c>
      <c r="B45" s="351" t="s">
        <v>282</v>
      </c>
      <c r="C45" s="350" t="s">
        <v>343</v>
      </c>
      <c r="D45" s="331" t="s">
        <v>18</v>
      </c>
      <c r="E45" s="344">
        <v>0.6</v>
      </c>
      <c r="F45" s="274"/>
      <c r="G45" s="352">
        <f t="shared" si="0"/>
        <v>0</v>
      </c>
      <c r="H45" s="358"/>
      <c r="J45" s="269"/>
    </row>
    <row r="46" spans="1:10" x14ac:dyDescent="0.25">
      <c r="A46" s="344" t="s">
        <v>339</v>
      </c>
      <c r="B46" s="351" t="s">
        <v>282</v>
      </c>
      <c r="C46" s="350" t="s">
        <v>345</v>
      </c>
      <c r="D46" s="331" t="s">
        <v>283</v>
      </c>
      <c r="E46" s="350">
        <v>2</v>
      </c>
      <c r="F46" s="277"/>
      <c r="G46" s="352">
        <f t="shared" si="0"/>
        <v>0</v>
      </c>
      <c r="H46" s="361"/>
    </row>
    <row r="47" spans="1:10" x14ac:dyDescent="0.25">
      <c r="A47" s="344" t="s">
        <v>340</v>
      </c>
      <c r="B47" s="351" t="s">
        <v>282</v>
      </c>
      <c r="C47" s="350" t="s">
        <v>347</v>
      </c>
      <c r="D47" s="331" t="s">
        <v>283</v>
      </c>
      <c r="E47" s="350">
        <v>95</v>
      </c>
      <c r="F47" s="277"/>
      <c r="G47" s="352">
        <f t="shared" si="0"/>
        <v>0</v>
      </c>
      <c r="H47" s="361"/>
    </row>
    <row r="48" spans="1:10" x14ac:dyDescent="0.25">
      <c r="A48" s="350" t="s">
        <v>341</v>
      </c>
      <c r="B48" s="351" t="s">
        <v>282</v>
      </c>
      <c r="C48" s="350" t="s">
        <v>349</v>
      </c>
      <c r="D48" s="331" t="s">
        <v>283</v>
      </c>
      <c r="E48" s="350">
        <v>35</v>
      </c>
      <c r="F48" s="274"/>
      <c r="G48" s="352">
        <f t="shared" si="0"/>
        <v>0</v>
      </c>
      <c r="H48" s="358"/>
    </row>
    <row r="49" spans="1:10" x14ac:dyDescent="0.25">
      <c r="A49" s="350" t="s">
        <v>342</v>
      </c>
      <c r="B49" s="351" t="s">
        <v>282</v>
      </c>
      <c r="C49" s="328" t="s">
        <v>351</v>
      </c>
      <c r="D49" s="331" t="s">
        <v>283</v>
      </c>
      <c r="E49" s="350">
        <v>80</v>
      </c>
      <c r="F49" s="277"/>
      <c r="G49" s="352">
        <f t="shared" si="0"/>
        <v>0</v>
      </c>
      <c r="H49" s="358"/>
    </row>
    <row r="50" spans="1:10" x14ac:dyDescent="0.25">
      <c r="A50" s="350" t="s">
        <v>344</v>
      </c>
      <c r="B50" s="351" t="s">
        <v>282</v>
      </c>
      <c r="C50" s="356" t="s">
        <v>352</v>
      </c>
      <c r="D50" s="362" t="s">
        <v>253</v>
      </c>
      <c r="E50" s="363">
        <v>6</v>
      </c>
      <c r="F50" s="280"/>
      <c r="G50" s="352">
        <f t="shared" si="0"/>
        <v>0</v>
      </c>
      <c r="H50" s="358"/>
      <c r="J50" s="269"/>
    </row>
    <row r="51" spans="1:10" x14ac:dyDescent="0.25">
      <c r="A51" s="350" t="s">
        <v>346</v>
      </c>
      <c r="B51" s="351" t="s">
        <v>282</v>
      </c>
      <c r="C51" s="356" t="s">
        <v>353</v>
      </c>
      <c r="D51" s="362" t="s">
        <v>283</v>
      </c>
      <c r="E51" s="363">
        <v>3</v>
      </c>
      <c r="F51" s="280"/>
      <c r="G51" s="352">
        <f t="shared" si="0"/>
        <v>0</v>
      </c>
      <c r="H51" s="358"/>
      <c r="I51" s="269"/>
    </row>
    <row r="52" spans="1:10" x14ac:dyDescent="0.25">
      <c r="A52" s="356" t="s">
        <v>348</v>
      </c>
      <c r="B52" s="364" t="s">
        <v>282</v>
      </c>
      <c r="C52" s="344" t="s">
        <v>354</v>
      </c>
      <c r="D52" s="331" t="s">
        <v>253</v>
      </c>
      <c r="E52" s="350">
        <v>180</v>
      </c>
      <c r="F52" s="277"/>
      <c r="G52" s="352">
        <f t="shared" si="0"/>
        <v>0</v>
      </c>
      <c r="H52" s="358"/>
      <c r="I52" s="269"/>
    </row>
    <row r="53" spans="1:10" x14ac:dyDescent="0.25">
      <c r="A53" s="356" t="s">
        <v>350</v>
      </c>
      <c r="B53" s="364" t="s">
        <v>282</v>
      </c>
      <c r="C53" s="350" t="s">
        <v>367</v>
      </c>
      <c r="D53" s="365" t="s">
        <v>283</v>
      </c>
      <c r="E53" s="328">
        <v>2</v>
      </c>
      <c r="F53" s="270"/>
      <c r="G53" s="366">
        <f>(E53*F53)</f>
        <v>0</v>
      </c>
      <c r="H53" s="358"/>
    </row>
    <row r="54" spans="1:10" x14ac:dyDescent="0.25">
      <c r="A54" s="326"/>
      <c r="B54" s="326"/>
      <c r="C54" s="326"/>
      <c r="D54" s="326"/>
      <c r="E54" s="326"/>
      <c r="G54" s="348"/>
      <c r="H54" s="358"/>
      <c r="J54" s="269"/>
    </row>
    <row r="55" spans="1:10" x14ac:dyDescent="0.25">
      <c r="A55" s="338"/>
      <c r="B55" s="346"/>
      <c r="C55" s="326"/>
      <c r="D55" s="326"/>
      <c r="E55" s="326"/>
      <c r="G55" s="367">
        <f>SUM(G15:G54)</f>
        <v>0</v>
      </c>
      <c r="H55" s="358"/>
      <c r="J55" s="269"/>
    </row>
    <row r="56" spans="1:10" x14ac:dyDescent="0.25">
      <c r="A56" s="344"/>
      <c r="B56" s="351"/>
      <c r="C56" s="326"/>
      <c r="D56" s="326"/>
      <c r="E56" s="326"/>
      <c r="G56" s="348"/>
      <c r="H56" s="326"/>
      <c r="J56" s="269"/>
    </row>
    <row r="57" spans="1:10" x14ac:dyDescent="0.25">
      <c r="A57" s="368"/>
      <c r="B57" s="369"/>
      <c r="C57" s="370" t="s">
        <v>355</v>
      </c>
      <c r="D57" s="371"/>
      <c r="E57" s="369"/>
      <c r="F57" s="281"/>
      <c r="G57" s="372"/>
      <c r="H57" s="326"/>
      <c r="J57" s="269"/>
    </row>
    <row r="58" spans="1:10" x14ac:dyDescent="0.25">
      <c r="A58" s="342"/>
      <c r="B58" s="342"/>
      <c r="C58" s="373"/>
      <c r="D58" s="374"/>
      <c r="E58" s="342"/>
      <c r="F58" s="283"/>
      <c r="G58" s="375"/>
      <c r="H58" s="326"/>
      <c r="J58" s="269"/>
    </row>
    <row r="59" spans="1:10" ht="20.399999999999999" x14ac:dyDescent="0.25">
      <c r="A59" s="376" t="s">
        <v>281</v>
      </c>
      <c r="B59" s="346" t="s">
        <v>282</v>
      </c>
      <c r="C59" s="342" t="s">
        <v>777</v>
      </c>
      <c r="D59" s="343" t="s">
        <v>283</v>
      </c>
      <c r="E59" s="342">
        <v>3</v>
      </c>
      <c r="F59" s="283"/>
      <c r="G59" s="375">
        <f t="shared" ref="G59:G72" si="1">(E59*F59)</f>
        <v>0</v>
      </c>
      <c r="H59" s="348"/>
      <c r="I59" s="269"/>
      <c r="J59" s="269"/>
    </row>
    <row r="60" spans="1:10" ht="20.399999999999999" x14ac:dyDescent="0.25">
      <c r="A60" s="376" t="s">
        <v>284</v>
      </c>
      <c r="B60" s="346" t="s">
        <v>282</v>
      </c>
      <c r="C60" s="342" t="s">
        <v>778</v>
      </c>
      <c r="D60" s="343" t="s">
        <v>283</v>
      </c>
      <c r="E60" s="342">
        <v>9</v>
      </c>
      <c r="F60" s="283"/>
      <c r="G60" s="375">
        <f t="shared" si="1"/>
        <v>0</v>
      </c>
      <c r="H60" s="348"/>
      <c r="I60" s="269"/>
      <c r="J60" s="269"/>
    </row>
    <row r="61" spans="1:10" ht="20.399999999999999" x14ac:dyDescent="0.25">
      <c r="A61" s="376" t="s">
        <v>285</v>
      </c>
      <c r="B61" s="346" t="s">
        <v>282</v>
      </c>
      <c r="C61" s="342" t="s">
        <v>779</v>
      </c>
      <c r="D61" s="343" t="s">
        <v>283</v>
      </c>
      <c r="E61" s="342">
        <v>4</v>
      </c>
      <c r="F61" s="283"/>
      <c r="G61" s="375">
        <f t="shared" si="1"/>
        <v>0</v>
      </c>
      <c r="H61" s="326"/>
      <c r="I61" s="269"/>
    </row>
    <row r="62" spans="1:10" ht="20.399999999999999" x14ac:dyDescent="0.25">
      <c r="A62" s="377" t="s">
        <v>286</v>
      </c>
      <c r="B62" s="346" t="s">
        <v>282</v>
      </c>
      <c r="C62" s="342" t="s">
        <v>780</v>
      </c>
      <c r="D62" s="343" t="s">
        <v>283</v>
      </c>
      <c r="E62" s="342">
        <v>4</v>
      </c>
      <c r="F62" s="283"/>
      <c r="G62" s="375">
        <f t="shared" si="1"/>
        <v>0</v>
      </c>
      <c r="H62" s="326"/>
      <c r="I62" s="269"/>
    </row>
    <row r="63" spans="1:10" ht="20.399999999999999" x14ac:dyDescent="0.25">
      <c r="A63" s="377" t="s">
        <v>287</v>
      </c>
      <c r="B63" s="346" t="s">
        <v>282</v>
      </c>
      <c r="C63" s="342" t="s">
        <v>781</v>
      </c>
      <c r="D63" s="343" t="s">
        <v>283</v>
      </c>
      <c r="E63" s="342">
        <v>3</v>
      </c>
      <c r="F63" s="283"/>
      <c r="G63" s="375">
        <f t="shared" si="1"/>
        <v>0</v>
      </c>
      <c r="H63" s="326"/>
      <c r="I63" s="269"/>
    </row>
    <row r="64" spans="1:10" ht="20.399999999999999" x14ac:dyDescent="0.25">
      <c r="A64" s="377" t="s">
        <v>294</v>
      </c>
      <c r="B64" s="346" t="s">
        <v>282</v>
      </c>
      <c r="C64" s="342" t="s">
        <v>782</v>
      </c>
      <c r="D64" s="343" t="s">
        <v>283</v>
      </c>
      <c r="E64" s="342">
        <v>12</v>
      </c>
      <c r="F64" s="283"/>
      <c r="G64" s="375">
        <f t="shared" si="1"/>
        <v>0</v>
      </c>
      <c r="H64" s="326"/>
      <c r="I64" s="269"/>
    </row>
    <row r="65" spans="1:10" ht="20.399999999999999" x14ac:dyDescent="0.25">
      <c r="A65" s="377" t="s">
        <v>296</v>
      </c>
      <c r="B65" s="346" t="s">
        <v>282</v>
      </c>
      <c r="C65" s="342" t="s">
        <v>783</v>
      </c>
      <c r="D65" s="343" t="s">
        <v>283</v>
      </c>
      <c r="E65" s="342">
        <v>6</v>
      </c>
      <c r="F65" s="283"/>
      <c r="G65" s="375">
        <f t="shared" si="1"/>
        <v>0</v>
      </c>
      <c r="H65" s="378"/>
      <c r="I65" s="269"/>
      <c r="J65" s="269"/>
    </row>
    <row r="66" spans="1:10" ht="20.399999999999999" x14ac:dyDescent="0.25">
      <c r="A66" s="377" t="s">
        <v>298</v>
      </c>
      <c r="B66" s="346" t="s">
        <v>282</v>
      </c>
      <c r="C66" s="342" t="s">
        <v>784</v>
      </c>
      <c r="D66" s="343" t="s">
        <v>283</v>
      </c>
      <c r="E66" s="342">
        <v>6</v>
      </c>
      <c r="F66" s="283"/>
      <c r="G66" s="375">
        <f t="shared" si="1"/>
        <v>0</v>
      </c>
      <c r="H66" s="378"/>
    </row>
    <row r="67" spans="1:10" ht="20.399999999999999" x14ac:dyDescent="0.25">
      <c r="A67" s="377" t="s">
        <v>300</v>
      </c>
      <c r="B67" s="346" t="s">
        <v>282</v>
      </c>
      <c r="C67" s="342" t="s">
        <v>785</v>
      </c>
      <c r="D67" s="343" t="s">
        <v>283</v>
      </c>
      <c r="E67" s="342">
        <v>4</v>
      </c>
      <c r="F67" s="283"/>
      <c r="G67" s="375">
        <f t="shared" si="1"/>
        <v>0</v>
      </c>
      <c r="H67" s="378"/>
    </row>
    <row r="68" spans="1:10" ht="20.399999999999999" x14ac:dyDescent="0.25">
      <c r="A68" s="338" t="s">
        <v>302</v>
      </c>
      <c r="B68" s="341" t="s">
        <v>282</v>
      </c>
      <c r="C68" s="342" t="s">
        <v>786</v>
      </c>
      <c r="D68" s="343" t="s">
        <v>283</v>
      </c>
      <c r="E68" s="342">
        <v>7</v>
      </c>
      <c r="F68" s="283"/>
      <c r="G68" s="375">
        <f t="shared" si="1"/>
        <v>0</v>
      </c>
      <c r="H68" s="378"/>
    </row>
    <row r="69" spans="1:10" ht="20.399999999999999" x14ac:dyDescent="0.25">
      <c r="A69" s="338" t="s">
        <v>303</v>
      </c>
      <c r="B69" s="341" t="s">
        <v>282</v>
      </c>
      <c r="C69" s="342" t="s">
        <v>787</v>
      </c>
      <c r="D69" s="343" t="s">
        <v>283</v>
      </c>
      <c r="E69" s="342">
        <v>2</v>
      </c>
      <c r="F69" s="283"/>
      <c r="G69" s="375">
        <f t="shared" si="1"/>
        <v>0</v>
      </c>
      <c r="H69" s="378"/>
    </row>
    <row r="70" spans="1:10" ht="20.399999999999999" x14ac:dyDescent="0.25">
      <c r="A70" s="338" t="s">
        <v>304</v>
      </c>
      <c r="B70" s="341" t="s">
        <v>282</v>
      </c>
      <c r="C70" s="342" t="s">
        <v>788</v>
      </c>
      <c r="D70" s="343" t="s">
        <v>283</v>
      </c>
      <c r="E70" s="342">
        <v>4</v>
      </c>
      <c r="F70" s="283"/>
      <c r="G70" s="375">
        <f t="shared" si="1"/>
        <v>0</v>
      </c>
      <c r="H70" s="378"/>
    </row>
    <row r="71" spans="1:10" ht="20.399999999999999" x14ac:dyDescent="0.25">
      <c r="A71" s="338" t="s">
        <v>306</v>
      </c>
      <c r="B71" s="341" t="s">
        <v>282</v>
      </c>
      <c r="C71" s="342" t="s">
        <v>789</v>
      </c>
      <c r="D71" s="343" t="s">
        <v>283</v>
      </c>
      <c r="E71" s="342">
        <v>2</v>
      </c>
      <c r="F71" s="283"/>
      <c r="G71" s="375">
        <f t="shared" si="1"/>
        <v>0</v>
      </c>
      <c r="H71" s="373"/>
    </row>
    <row r="72" spans="1:10" x14ac:dyDescent="0.25">
      <c r="A72" s="344" t="s">
        <v>308</v>
      </c>
      <c r="B72" s="339" t="s">
        <v>282</v>
      </c>
      <c r="C72" s="350" t="s">
        <v>356</v>
      </c>
      <c r="D72" s="365" t="s">
        <v>283</v>
      </c>
      <c r="E72" s="350">
        <f>SUM(E59:E71)</f>
        <v>66</v>
      </c>
      <c r="F72" s="277"/>
      <c r="G72" s="352">
        <f t="shared" si="1"/>
        <v>0</v>
      </c>
      <c r="H72" s="326"/>
    </row>
    <row r="73" spans="1:10" x14ac:dyDescent="0.25">
      <c r="A73" s="356"/>
      <c r="B73" s="364"/>
      <c r="C73" s="350"/>
      <c r="D73" s="365"/>
      <c r="E73" s="350"/>
      <c r="F73" s="277"/>
      <c r="G73" s="352"/>
      <c r="H73" s="326"/>
    </row>
    <row r="74" spans="1:10" x14ac:dyDescent="0.25">
      <c r="A74" s="356"/>
      <c r="B74" s="364"/>
      <c r="C74" s="350"/>
      <c r="D74" s="365"/>
      <c r="E74" s="350"/>
      <c r="F74" s="277"/>
      <c r="G74" s="347">
        <f>SUM(G59:G73)</f>
        <v>0</v>
      </c>
      <c r="H74" s="358"/>
    </row>
    <row r="75" spans="1:10" x14ac:dyDescent="0.25">
      <c r="A75" s="356"/>
      <c r="B75" s="364"/>
      <c r="C75" s="350"/>
      <c r="D75" s="365"/>
      <c r="E75" s="350"/>
      <c r="F75" s="277"/>
      <c r="G75" s="352"/>
      <c r="H75" s="361"/>
      <c r="I75" s="279"/>
    </row>
    <row r="76" spans="1:10" x14ac:dyDescent="0.25">
      <c r="A76" s="379"/>
      <c r="B76" s="380"/>
      <c r="C76" s="334" t="s">
        <v>357</v>
      </c>
      <c r="D76" s="335"/>
      <c r="E76" s="380"/>
      <c r="F76" s="284"/>
      <c r="G76" s="381"/>
      <c r="H76" s="358"/>
      <c r="I76" s="279"/>
    </row>
    <row r="77" spans="1:10" x14ac:dyDescent="0.25">
      <c r="A77" s="328"/>
      <c r="B77" s="328"/>
      <c r="C77" s="328"/>
      <c r="D77" s="331"/>
      <c r="E77" s="328"/>
      <c r="F77" s="270"/>
      <c r="G77" s="329"/>
      <c r="H77" s="358"/>
      <c r="I77" s="279"/>
    </row>
    <row r="78" spans="1:10" x14ac:dyDescent="0.25">
      <c r="A78" s="328" t="s">
        <v>281</v>
      </c>
      <c r="B78" s="339" t="s">
        <v>282</v>
      </c>
      <c r="C78" s="328" t="s">
        <v>498</v>
      </c>
      <c r="D78" s="331" t="s">
        <v>73</v>
      </c>
      <c r="E78" s="328">
        <v>235</v>
      </c>
      <c r="F78" s="270"/>
      <c r="G78" s="329">
        <f>E78*F78</f>
        <v>0</v>
      </c>
      <c r="H78" s="358"/>
      <c r="I78" s="279"/>
    </row>
    <row r="79" spans="1:10" x14ac:dyDescent="0.25">
      <c r="A79" s="328" t="s">
        <v>284</v>
      </c>
      <c r="B79" s="339" t="s">
        <v>282</v>
      </c>
      <c r="C79" s="328" t="s">
        <v>358</v>
      </c>
      <c r="D79" s="331" t="s">
        <v>73</v>
      </c>
      <c r="E79" s="328">
        <v>1130</v>
      </c>
      <c r="F79" s="270"/>
      <c r="G79" s="329">
        <f t="shared" ref="G79:G90" si="2">E79*F79</f>
        <v>0</v>
      </c>
      <c r="H79" s="358"/>
      <c r="I79" s="279"/>
    </row>
    <row r="80" spans="1:10" x14ac:dyDescent="0.25">
      <c r="A80" s="328" t="s">
        <v>285</v>
      </c>
      <c r="B80" s="339" t="s">
        <v>282</v>
      </c>
      <c r="C80" s="328" t="s">
        <v>359</v>
      </c>
      <c r="D80" s="331" t="s">
        <v>73</v>
      </c>
      <c r="E80" s="328">
        <v>890</v>
      </c>
      <c r="F80" s="270"/>
      <c r="G80" s="329">
        <f t="shared" si="2"/>
        <v>0</v>
      </c>
      <c r="H80" s="358"/>
      <c r="I80" s="279"/>
    </row>
    <row r="81" spans="1:9" x14ac:dyDescent="0.25">
      <c r="A81" s="328" t="s">
        <v>286</v>
      </c>
      <c r="B81" s="339" t="s">
        <v>282</v>
      </c>
      <c r="C81" s="328" t="s">
        <v>360</v>
      </c>
      <c r="D81" s="331" t="s">
        <v>73</v>
      </c>
      <c r="E81" s="328">
        <v>40</v>
      </c>
      <c r="F81" s="270"/>
      <c r="G81" s="329">
        <f t="shared" si="2"/>
        <v>0</v>
      </c>
      <c r="H81" s="358"/>
      <c r="I81" s="279"/>
    </row>
    <row r="82" spans="1:9" x14ac:dyDescent="0.25">
      <c r="A82" s="328" t="s">
        <v>287</v>
      </c>
      <c r="B82" s="339" t="s">
        <v>282</v>
      </c>
      <c r="C82" s="350" t="s">
        <v>790</v>
      </c>
      <c r="D82" s="331" t="s">
        <v>73</v>
      </c>
      <c r="E82" s="350">
        <v>12</v>
      </c>
      <c r="F82" s="277"/>
      <c r="G82" s="329">
        <f t="shared" si="2"/>
        <v>0</v>
      </c>
      <c r="H82" s="358"/>
      <c r="I82" s="279"/>
    </row>
    <row r="83" spans="1:9" x14ac:dyDescent="0.25">
      <c r="A83" s="328" t="s">
        <v>294</v>
      </c>
      <c r="B83" s="339" t="s">
        <v>282</v>
      </c>
      <c r="C83" s="350" t="s">
        <v>791</v>
      </c>
      <c r="D83" s="331" t="s">
        <v>73</v>
      </c>
      <c r="E83" s="328">
        <v>5</v>
      </c>
      <c r="F83" s="270"/>
      <c r="G83" s="329">
        <f t="shared" si="2"/>
        <v>0</v>
      </c>
      <c r="H83" s="358"/>
      <c r="I83" s="279"/>
    </row>
    <row r="84" spans="1:9" x14ac:dyDescent="0.25">
      <c r="A84" s="328" t="s">
        <v>296</v>
      </c>
      <c r="B84" s="339" t="s">
        <v>282</v>
      </c>
      <c r="C84" s="350" t="s">
        <v>362</v>
      </c>
      <c r="D84" s="331" t="s">
        <v>73</v>
      </c>
      <c r="E84" s="328">
        <v>50</v>
      </c>
      <c r="F84" s="270"/>
      <c r="G84" s="329">
        <f t="shared" si="2"/>
        <v>0</v>
      </c>
      <c r="H84" s="358"/>
      <c r="I84" s="279"/>
    </row>
    <row r="85" spans="1:9" x14ac:dyDescent="0.25">
      <c r="A85" s="328" t="s">
        <v>298</v>
      </c>
      <c r="B85" s="339" t="s">
        <v>282</v>
      </c>
      <c r="C85" s="350" t="s">
        <v>363</v>
      </c>
      <c r="D85" s="331" t="s">
        <v>73</v>
      </c>
      <c r="E85" s="328">
        <v>60</v>
      </c>
      <c r="F85" s="270"/>
      <c r="G85" s="329">
        <f t="shared" si="2"/>
        <v>0</v>
      </c>
      <c r="H85" s="326"/>
      <c r="I85" s="279"/>
    </row>
    <row r="86" spans="1:9" x14ac:dyDescent="0.25">
      <c r="A86" s="328" t="s">
        <v>300</v>
      </c>
      <c r="B86" s="339" t="s">
        <v>282</v>
      </c>
      <c r="C86" s="350" t="s">
        <v>364</v>
      </c>
      <c r="D86" s="331" t="s">
        <v>73</v>
      </c>
      <c r="E86" s="328">
        <v>70</v>
      </c>
      <c r="F86" s="270"/>
      <c r="G86" s="329">
        <f t="shared" si="2"/>
        <v>0</v>
      </c>
      <c r="H86" s="382"/>
      <c r="I86" s="279"/>
    </row>
    <row r="87" spans="1:9" x14ac:dyDescent="0.25">
      <c r="A87" s="328" t="s">
        <v>302</v>
      </c>
      <c r="B87" s="339" t="s">
        <v>282</v>
      </c>
      <c r="C87" s="350" t="s">
        <v>365</v>
      </c>
      <c r="D87" s="331" t="s">
        <v>73</v>
      </c>
      <c r="E87" s="328">
        <v>120</v>
      </c>
      <c r="F87" s="270"/>
      <c r="G87" s="329">
        <f t="shared" si="2"/>
        <v>0</v>
      </c>
      <c r="H87" s="326"/>
      <c r="I87" s="285"/>
    </row>
    <row r="88" spans="1:9" x14ac:dyDescent="0.25">
      <c r="A88" s="328" t="s">
        <v>303</v>
      </c>
      <c r="B88" s="339" t="s">
        <v>282</v>
      </c>
      <c r="C88" s="350" t="s">
        <v>366</v>
      </c>
      <c r="D88" s="331" t="s">
        <v>73</v>
      </c>
      <c r="E88" s="328">
        <v>10</v>
      </c>
      <c r="F88" s="270"/>
      <c r="G88" s="329">
        <f t="shared" si="2"/>
        <v>0</v>
      </c>
      <c r="H88" s="358"/>
      <c r="I88" s="282"/>
    </row>
    <row r="89" spans="1:9" x14ac:dyDescent="0.25">
      <c r="A89" s="328" t="s">
        <v>304</v>
      </c>
      <c r="B89" s="339" t="s">
        <v>282</v>
      </c>
      <c r="C89" s="350" t="s">
        <v>499</v>
      </c>
      <c r="D89" s="331" t="s">
        <v>73</v>
      </c>
      <c r="E89" s="328">
        <v>5</v>
      </c>
      <c r="F89" s="270"/>
      <c r="G89" s="329">
        <f t="shared" si="2"/>
        <v>0</v>
      </c>
      <c r="H89" s="358"/>
      <c r="I89" s="282"/>
    </row>
    <row r="90" spans="1:9" x14ac:dyDescent="0.25">
      <c r="A90" s="328" t="s">
        <v>306</v>
      </c>
      <c r="B90" s="339" t="s">
        <v>282</v>
      </c>
      <c r="C90" s="328" t="s">
        <v>792</v>
      </c>
      <c r="D90" s="331" t="s">
        <v>73</v>
      </c>
      <c r="E90" s="328">
        <v>10</v>
      </c>
      <c r="F90" s="270"/>
      <c r="G90" s="329">
        <f t="shared" si="2"/>
        <v>0</v>
      </c>
      <c r="H90" s="358"/>
      <c r="I90" s="282"/>
    </row>
    <row r="91" spans="1:9" x14ac:dyDescent="0.25">
      <c r="A91" s="328" t="s">
        <v>308</v>
      </c>
      <c r="B91" s="339" t="s">
        <v>282</v>
      </c>
      <c r="C91" s="350" t="s">
        <v>368</v>
      </c>
      <c r="D91" s="383" t="s">
        <v>73</v>
      </c>
      <c r="E91" s="331">
        <v>5</v>
      </c>
      <c r="F91" s="270"/>
      <c r="G91" s="366">
        <f>(E91*F91)</f>
        <v>0</v>
      </c>
      <c r="H91" s="358"/>
      <c r="I91" s="282"/>
    </row>
    <row r="92" spans="1:9" x14ac:dyDescent="0.25">
      <c r="A92" s="350"/>
      <c r="B92" s="351"/>
      <c r="C92" s="328"/>
      <c r="D92" s="331"/>
      <c r="E92" s="328"/>
      <c r="F92" s="329"/>
      <c r="G92" s="345"/>
      <c r="H92" s="358"/>
      <c r="I92" s="282"/>
    </row>
    <row r="93" spans="1:9" x14ac:dyDescent="0.25">
      <c r="A93" s="350"/>
      <c r="B93" s="351"/>
      <c r="C93" s="328"/>
      <c r="D93" s="331"/>
      <c r="E93" s="328"/>
      <c r="F93" s="329"/>
      <c r="G93" s="347">
        <f>SUM(G78:G92)</f>
        <v>0</v>
      </c>
      <c r="H93" s="326"/>
      <c r="I93" s="282"/>
    </row>
    <row r="94" spans="1:9" x14ac:dyDescent="0.25">
      <c r="A94" s="326"/>
      <c r="B94" s="326"/>
      <c r="C94" s="326"/>
      <c r="D94" s="326"/>
      <c r="E94" s="326"/>
      <c r="F94" s="348"/>
      <c r="G94" s="348"/>
      <c r="H94" s="326"/>
      <c r="I94" s="282"/>
    </row>
    <row r="95" spans="1:9" x14ac:dyDescent="0.25">
      <c r="A95" s="384"/>
      <c r="B95" s="385"/>
      <c r="C95" s="385"/>
      <c r="D95" s="386"/>
      <c r="E95" s="385"/>
      <c r="F95" s="387"/>
      <c r="G95" s="388"/>
      <c r="H95" s="326"/>
      <c r="I95" s="276"/>
    </row>
    <row r="96" spans="1:9" x14ac:dyDescent="0.25">
      <c r="A96" s="389"/>
      <c r="B96" s="390"/>
      <c r="C96" s="390" t="s">
        <v>369</v>
      </c>
      <c r="D96" s="391"/>
      <c r="E96" s="390"/>
      <c r="F96" s="392"/>
      <c r="G96" s="393">
        <f>SUM(G93+G74+G55+G11)</f>
        <v>0</v>
      </c>
      <c r="H96" s="326"/>
      <c r="I96" s="286"/>
    </row>
    <row r="97" spans="1:10" x14ac:dyDescent="0.25">
      <c r="A97" s="394"/>
      <c r="B97" s="395"/>
      <c r="C97" s="395"/>
      <c r="D97" s="396"/>
      <c r="E97" s="395"/>
      <c r="F97" s="397"/>
      <c r="G97" s="398"/>
      <c r="H97" s="326"/>
      <c r="I97" s="286"/>
    </row>
    <row r="98" spans="1:10" x14ac:dyDescent="0.25">
      <c r="A98" s="326"/>
      <c r="B98" s="326"/>
      <c r="C98" s="326"/>
      <c r="D98" s="326"/>
      <c r="E98" s="326"/>
      <c r="F98" s="348"/>
      <c r="G98" s="348"/>
      <c r="H98" s="326"/>
    </row>
    <row r="99" spans="1:10" x14ac:dyDescent="0.25">
      <c r="A99" s="326"/>
      <c r="B99" s="326"/>
      <c r="C99" s="326"/>
      <c r="D99" s="326"/>
      <c r="E99" s="326"/>
      <c r="F99" s="348"/>
      <c r="G99" s="348"/>
      <c r="H99" s="326"/>
    </row>
    <row r="100" spans="1:10" ht="31.2" x14ac:dyDescent="0.25">
      <c r="A100" s="399"/>
      <c r="B100" s="400"/>
      <c r="C100" s="400" t="s">
        <v>370</v>
      </c>
      <c r="D100" s="400"/>
      <c r="E100" s="401"/>
      <c r="F100" s="402"/>
      <c r="G100" s="403"/>
      <c r="H100" s="404"/>
      <c r="I100" s="287"/>
    </row>
    <row r="101" spans="1:10" x14ac:dyDescent="0.25">
      <c r="A101" s="350"/>
      <c r="B101" s="350"/>
      <c r="C101" s="350"/>
      <c r="D101" s="350"/>
      <c r="E101" s="350"/>
      <c r="F101" s="352"/>
      <c r="G101" s="352"/>
      <c r="H101" s="404"/>
      <c r="I101" s="287"/>
    </row>
    <row r="102" spans="1:10" x14ac:dyDescent="0.25">
      <c r="A102" s="330" t="s">
        <v>276</v>
      </c>
      <c r="B102" s="330" t="s">
        <v>277</v>
      </c>
      <c r="C102" s="330" t="s">
        <v>3</v>
      </c>
      <c r="D102" s="331" t="s">
        <v>4</v>
      </c>
      <c r="E102" s="331" t="s">
        <v>278</v>
      </c>
      <c r="F102" s="332" t="s">
        <v>279</v>
      </c>
      <c r="G102" s="332" t="s">
        <v>7</v>
      </c>
      <c r="H102" s="404"/>
      <c r="I102" s="287"/>
      <c r="J102" s="287"/>
    </row>
    <row r="103" spans="1:10" x14ac:dyDescent="0.25">
      <c r="A103" s="405"/>
      <c r="B103" s="370"/>
      <c r="C103" s="370" t="s">
        <v>371</v>
      </c>
      <c r="D103" s="370"/>
      <c r="E103" s="370"/>
      <c r="F103" s="406"/>
      <c r="G103" s="407"/>
      <c r="H103" s="404"/>
      <c r="I103" s="287"/>
      <c r="J103" s="287"/>
    </row>
    <row r="104" spans="1:10" x14ac:dyDescent="0.25">
      <c r="A104" s="350"/>
      <c r="B104" s="350"/>
      <c r="C104" s="350"/>
      <c r="D104" s="350"/>
      <c r="E104" s="350"/>
      <c r="F104" s="352"/>
      <c r="G104" s="352"/>
      <c r="H104" s="408"/>
      <c r="I104" s="287"/>
      <c r="J104" s="287"/>
    </row>
    <row r="105" spans="1:10" x14ac:dyDescent="0.25">
      <c r="A105" s="350" t="s">
        <v>281</v>
      </c>
      <c r="B105" s="351" t="s">
        <v>372</v>
      </c>
      <c r="C105" s="350" t="s">
        <v>793</v>
      </c>
      <c r="D105" s="365" t="s">
        <v>283</v>
      </c>
      <c r="E105" s="350">
        <v>3</v>
      </c>
      <c r="F105" s="277"/>
      <c r="G105" s="352">
        <f>E105*F105</f>
        <v>0</v>
      </c>
      <c r="H105" s="408"/>
      <c r="I105" s="287"/>
      <c r="J105" s="287"/>
    </row>
    <row r="106" spans="1:10" ht="20.399999999999999" x14ac:dyDescent="0.25">
      <c r="A106" s="342" t="s">
        <v>284</v>
      </c>
      <c r="B106" s="346" t="s">
        <v>372</v>
      </c>
      <c r="C106" s="342" t="s">
        <v>794</v>
      </c>
      <c r="D106" s="343" t="s">
        <v>283</v>
      </c>
      <c r="E106" s="342">
        <v>1</v>
      </c>
      <c r="F106" s="283"/>
      <c r="G106" s="375">
        <f>E106*F106</f>
        <v>0</v>
      </c>
      <c r="H106" s="408"/>
      <c r="I106" s="287"/>
      <c r="J106" s="287"/>
    </row>
    <row r="107" spans="1:10" ht="20.399999999999999" x14ac:dyDescent="0.25">
      <c r="A107" s="342" t="s">
        <v>285</v>
      </c>
      <c r="B107" s="346" t="s">
        <v>372</v>
      </c>
      <c r="C107" s="342" t="s">
        <v>795</v>
      </c>
      <c r="D107" s="343" t="s">
        <v>283</v>
      </c>
      <c r="E107" s="342">
        <v>1</v>
      </c>
      <c r="F107" s="283"/>
      <c r="G107" s="375">
        <f>E107*F107</f>
        <v>0</v>
      </c>
      <c r="H107" s="378"/>
      <c r="I107" s="287"/>
      <c r="J107" s="287"/>
    </row>
    <row r="108" spans="1:10" x14ac:dyDescent="0.25">
      <c r="A108" s="350" t="s">
        <v>286</v>
      </c>
      <c r="B108" s="351" t="s">
        <v>372</v>
      </c>
      <c r="C108" s="350" t="s">
        <v>500</v>
      </c>
      <c r="D108" s="365" t="s">
        <v>283</v>
      </c>
      <c r="E108" s="350">
        <v>1</v>
      </c>
      <c r="F108" s="277"/>
      <c r="G108" s="352">
        <f>E108*F108</f>
        <v>0</v>
      </c>
      <c r="H108" s="408"/>
      <c r="I108" s="287"/>
      <c r="J108" s="287"/>
    </row>
    <row r="109" spans="1:10" x14ac:dyDescent="0.25">
      <c r="A109" s="350"/>
      <c r="B109" s="351"/>
      <c r="C109" s="326"/>
      <c r="D109" s="326"/>
      <c r="E109" s="326"/>
      <c r="G109" s="348"/>
      <c r="H109" s="373"/>
      <c r="I109" s="287"/>
      <c r="J109" s="287"/>
    </row>
    <row r="110" spans="1:10" x14ac:dyDescent="0.25">
      <c r="A110" s="350"/>
      <c r="B110" s="351"/>
      <c r="C110" s="326"/>
      <c r="D110" s="326"/>
      <c r="E110" s="326"/>
      <c r="G110" s="367">
        <f>SUM(G105:G109)</f>
        <v>0</v>
      </c>
      <c r="H110" s="373"/>
      <c r="I110" s="287"/>
      <c r="J110" s="287"/>
    </row>
    <row r="111" spans="1:10" x14ac:dyDescent="0.25">
      <c r="A111" s="350"/>
      <c r="B111" s="351"/>
      <c r="C111" s="344"/>
      <c r="D111" s="365"/>
      <c r="E111" s="350"/>
      <c r="F111" s="277"/>
      <c r="G111" s="348"/>
      <c r="H111" s="373"/>
      <c r="I111" s="287"/>
      <c r="J111" s="287"/>
    </row>
    <row r="112" spans="1:10" x14ac:dyDescent="0.25">
      <c r="A112" s="368"/>
      <c r="B112" s="369"/>
      <c r="C112" s="370" t="s">
        <v>373</v>
      </c>
      <c r="D112" s="369"/>
      <c r="E112" s="369"/>
      <c r="F112" s="281"/>
      <c r="G112" s="372"/>
      <c r="H112" s="373"/>
      <c r="I112" s="287"/>
      <c r="J112" s="287"/>
    </row>
    <row r="113" spans="1:10" x14ac:dyDescent="0.25">
      <c r="A113" s="350"/>
      <c r="B113" s="350"/>
      <c r="C113" s="350"/>
      <c r="D113" s="350"/>
      <c r="E113" s="350"/>
      <c r="F113" s="277"/>
      <c r="G113" s="352"/>
      <c r="H113" s="352"/>
      <c r="J113" s="287"/>
    </row>
    <row r="114" spans="1:10" x14ac:dyDescent="0.25">
      <c r="A114" s="350" t="s">
        <v>281</v>
      </c>
      <c r="B114" s="351" t="s">
        <v>372</v>
      </c>
      <c r="C114" s="344" t="s">
        <v>374</v>
      </c>
      <c r="D114" s="365" t="s">
        <v>283</v>
      </c>
      <c r="E114" s="350">
        <v>10</v>
      </c>
      <c r="F114" s="277"/>
      <c r="G114" s="352">
        <f t="shared" ref="G114:G146" si="3">E114*F114</f>
        <v>0</v>
      </c>
      <c r="H114" s="352"/>
      <c r="J114" s="287"/>
    </row>
    <row r="115" spans="1:10" x14ac:dyDescent="0.25">
      <c r="A115" s="350" t="s">
        <v>284</v>
      </c>
      <c r="B115" s="351" t="s">
        <v>372</v>
      </c>
      <c r="C115" s="350" t="s">
        <v>375</v>
      </c>
      <c r="D115" s="365" t="s">
        <v>283</v>
      </c>
      <c r="E115" s="350">
        <v>2</v>
      </c>
      <c r="F115" s="278"/>
      <c r="G115" s="352">
        <f t="shared" si="3"/>
        <v>0</v>
      </c>
      <c r="H115" s="326"/>
      <c r="J115" s="287"/>
    </row>
    <row r="116" spans="1:10" x14ac:dyDescent="0.25">
      <c r="A116" s="350" t="s">
        <v>285</v>
      </c>
      <c r="B116" s="351" t="s">
        <v>372</v>
      </c>
      <c r="C116" s="350" t="s">
        <v>376</v>
      </c>
      <c r="D116" s="365" t="s">
        <v>283</v>
      </c>
      <c r="E116" s="344">
        <v>14</v>
      </c>
      <c r="F116" s="274"/>
      <c r="G116" s="352">
        <f t="shared" si="3"/>
        <v>0</v>
      </c>
      <c r="H116" s="326"/>
      <c r="J116" s="287"/>
    </row>
    <row r="117" spans="1:10" ht="12.6" customHeight="1" x14ac:dyDescent="0.25">
      <c r="A117" s="350" t="s">
        <v>286</v>
      </c>
      <c r="B117" s="351" t="s">
        <v>372</v>
      </c>
      <c r="C117" s="328" t="s">
        <v>501</v>
      </c>
      <c r="D117" s="365" t="s">
        <v>283</v>
      </c>
      <c r="E117" s="328">
        <v>3</v>
      </c>
      <c r="F117" s="270"/>
      <c r="G117" s="352">
        <f t="shared" si="3"/>
        <v>0</v>
      </c>
      <c r="H117" s="326"/>
      <c r="J117" s="287"/>
    </row>
    <row r="118" spans="1:10" ht="12.6" customHeight="1" x14ac:dyDescent="0.25">
      <c r="A118" s="350" t="s">
        <v>287</v>
      </c>
      <c r="B118" s="351" t="s">
        <v>372</v>
      </c>
      <c r="C118" s="350" t="s">
        <v>796</v>
      </c>
      <c r="D118" s="365" t="s">
        <v>283</v>
      </c>
      <c r="E118" s="328">
        <v>1</v>
      </c>
      <c r="F118" s="270"/>
      <c r="G118" s="352">
        <f t="shared" si="3"/>
        <v>0</v>
      </c>
      <c r="H118" s="326"/>
      <c r="J118" s="287"/>
    </row>
    <row r="119" spans="1:10" ht="12.6" customHeight="1" x14ac:dyDescent="0.25">
      <c r="A119" s="350" t="s">
        <v>294</v>
      </c>
      <c r="B119" s="351" t="s">
        <v>372</v>
      </c>
      <c r="C119" s="350" t="s">
        <v>377</v>
      </c>
      <c r="D119" s="365" t="s">
        <v>283</v>
      </c>
      <c r="E119" s="350">
        <v>4</v>
      </c>
      <c r="F119" s="277"/>
      <c r="G119" s="352">
        <f t="shared" si="3"/>
        <v>0</v>
      </c>
      <c r="H119" s="326"/>
      <c r="J119" s="287"/>
    </row>
    <row r="120" spans="1:10" ht="12.6" customHeight="1" x14ac:dyDescent="0.25">
      <c r="A120" s="350" t="s">
        <v>296</v>
      </c>
      <c r="B120" s="351" t="s">
        <v>372</v>
      </c>
      <c r="C120" s="350" t="s">
        <v>378</v>
      </c>
      <c r="D120" s="365" t="s">
        <v>283</v>
      </c>
      <c r="E120" s="350">
        <v>37</v>
      </c>
      <c r="F120" s="278"/>
      <c r="G120" s="352">
        <f t="shared" si="3"/>
        <v>0</v>
      </c>
      <c r="H120" s="326"/>
      <c r="J120" s="287"/>
    </row>
    <row r="121" spans="1:10" ht="12.6" customHeight="1" x14ac:dyDescent="0.25">
      <c r="A121" s="350" t="s">
        <v>298</v>
      </c>
      <c r="B121" s="351" t="s">
        <v>372</v>
      </c>
      <c r="C121" s="350" t="s">
        <v>379</v>
      </c>
      <c r="D121" s="365" t="s">
        <v>283</v>
      </c>
      <c r="E121" s="350">
        <v>6</v>
      </c>
      <c r="F121" s="278"/>
      <c r="G121" s="352">
        <f t="shared" si="3"/>
        <v>0</v>
      </c>
      <c r="H121" s="326"/>
      <c r="J121" s="287"/>
    </row>
    <row r="122" spans="1:10" ht="12.6" customHeight="1" x14ac:dyDescent="0.25">
      <c r="A122" s="350" t="s">
        <v>300</v>
      </c>
      <c r="B122" s="351" t="s">
        <v>372</v>
      </c>
      <c r="C122" s="350" t="s">
        <v>797</v>
      </c>
      <c r="D122" s="365" t="s">
        <v>283</v>
      </c>
      <c r="E122" s="350">
        <v>7</v>
      </c>
      <c r="F122" s="278"/>
      <c r="G122" s="352">
        <f t="shared" si="3"/>
        <v>0</v>
      </c>
      <c r="H122" s="326"/>
      <c r="J122" s="287"/>
    </row>
    <row r="123" spans="1:10" x14ac:dyDescent="0.25">
      <c r="A123" s="350" t="s">
        <v>302</v>
      </c>
      <c r="B123" s="351" t="s">
        <v>372</v>
      </c>
      <c r="C123" s="328" t="s">
        <v>798</v>
      </c>
      <c r="D123" s="365" t="s">
        <v>283</v>
      </c>
      <c r="E123" s="350">
        <v>1</v>
      </c>
      <c r="F123" s="277"/>
      <c r="G123" s="352">
        <f t="shared" si="3"/>
        <v>0</v>
      </c>
      <c r="H123" s="326"/>
      <c r="I123" s="287"/>
      <c r="J123" s="287"/>
    </row>
    <row r="124" spans="1:10" x14ac:dyDescent="0.25">
      <c r="A124" s="350" t="s">
        <v>303</v>
      </c>
      <c r="B124" s="351" t="s">
        <v>372</v>
      </c>
      <c r="C124" s="350" t="s">
        <v>380</v>
      </c>
      <c r="D124" s="365" t="s">
        <v>283</v>
      </c>
      <c r="E124" s="350">
        <v>95</v>
      </c>
      <c r="F124" s="277"/>
      <c r="G124" s="352">
        <f t="shared" si="3"/>
        <v>0</v>
      </c>
      <c r="H124" s="326"/>
      <c r="I124" s="287"/>
      <c r="J124" s="287"/>
    </row>
    <row r="125" spans="1:10" x14ac:dyDescent="0.25">
      <c r="A125" s="350" t="s">
        <v>304</v>
      </c>
      <c r="B125" s="351" t="s">
        <v>372</v>
      </c>
      <c r="C125" s="350" t="s">
        <v>381</v>
      </c>
      <c r="D125" s="365" t="s">
        <v>283</v>
      </c>
      <c r="E125" s="350">
        <v>38</v>
      </c>
      <c r="F125" s="277"/>
      <c r="G125" s="352">
        <f t="shared" si="3"/>
        <v>0</v>
      </c>
      <c r="H125" s="326"/>
      <c r="I125" s="287"/>
      <c r="J125" s="287"/>
    </row>
    <row r="126" spans="1:10" ht="12.6" customHeight="1" x14ac:dyDescent="0.25">
      <c r="A126" s="350" t="s">
        <v>306</v>
      </c>
      <c r="B126" s="351" t="s">
        <v>372</v>
      </c>
      <c r="C126" s="350" t="s">
        <v>382</v>
      </c>
      <c r="D126" s="365" t="s">
        <v>283</v>
      </c>
      <c r="E126" s="350">
        <v>15</v>
      </c>
      <c r="F126" s="277"/>
      <c r="G126" s="352">
        <f t="shared" si="3"/>
        <v>0</v>
      </c>
      <c r="H126" s="326"/>
      <c r="I126" s="287"/>
      <c r="J126" s="269"/>
    </row>
    <row r="127" spans="1:10" ht="12.6" customHeight="1" x14ac:dyDescent="0.25">
      <c r="A127" s="350" t="s">
        <v>308</v>
      </c>
      <c r="B127" s="351" t="s">
        <v>372</v>
      </c>
      <c r="C127" s="350" t="s">
        <v>383</v>
      </c>
      <c r="D127" s="365" t="s">
        <v>283</v>
      </c>
      <c r="E127" s="350">
        <v>4</v>
      </c>
      <c r="F127" s="277"/>
      <c r="G127" s="352">
        <f t="shared" si="3"/>
        <v>0</v>
      </c>
      <c r="H127" s="373"/>
      <c r="I127" s="287"/>
      <c r="J127" s="269"/>
    </row>
    <row r="128" spans="1:10" ht="12.6" customHeight="1" x14ac:dyDescent="0.25">
      <c r="A128" s="350" t="s">
        <v>310</v>
      </c>
      <c r="B128" s="351" t="s">
        <v>372</v>
      </c>
      <c r="C128" s="350" t="s">
        <v>313</v>
      </c>
      <c r="D128" s="365" t="s">
        <v>283</v>
      </c>
      <c r="E128" s="350">
        <v>5</v>
      </c>
      <c r="F128" s="277"/>
      <c r="G128" s="352">
        <f t="shared" si="3"/>
        <v>0</v>
      </c>
      <c r="H128" s="326"/>
      <c r="I128" s="287"/>
      <c r="J128" s="269"/>
    </row>
    <row r="129" spans="1:10" ht="12.6" customHeight="1" x14ac:dyDescent="0.25">
      <c r="A129" s="350" t="s">
        <v>312</v>
      </c>
      <c r="B129" s="351" t="s">
        <v>372</v>
      </c>
      <c r="C129" s="350" t="s">
        <v>315</v>
      </c>
      <c r="D129" s="365" t="s">
        <v>283</v>
      </c>
      <c r="E129" s="350">
        <v>3</v>
      </c>
      <c r="F129" s="277"/>
      <c r="G129" s="352">
        <f t="shared" si="3"/>
        <v>0</v>
      </c>
      <c r="H129" s="409"/>
      <c r="I129" s="287"/>
      <c r="J129" s="269"/>
    </row>
    <row r="130" spans="1:10" ht="12.6" customHeight="1" x14ac:dyDescent="0.25">
      <c r="A130" s="350" t="s">
        <v>314</v>
      </c>
      <c r="B130" s="351" t="s">
        <v>372</v>
      </c>
      <c r="C130" s="350" t="s">
        <v>384</v>
      </c>
      <c r="D130" s="365" t="s">
        <v>73</v>
      </c>
      <c r="E130" s="350">
        <v>10</v>
      </c>
      <c r="F130" s="277"/>
      <c r="G130" s="352">
        <f t="shared" si="3"/>
        <v>0</v>
      </c>
      <c r="H130" s="326"/>
      <c r="I130" s="287"/>
      <c r="J130" s="269"/>
    </row>
    <row r="131" spans="1:10" ht="12.6" customHeight="1" x14ac:dyDescent="0.25">
      <c r="A131" s="350" t="s">
        <v>316</v>
      </c>
      <c r="B131" s="351" t="s">
        <v>372</v>
      </c>
      <c r="C131" s="350" t="s">
        <v>385</v>
      </c>
      <c r="D131" s="365" t="s">
        <v>73</v>
      </c>
      <c r="E131" s="350">
        <v>15</v>
      </c>
      <c r="F131" s="277"/>
      <c r="G131" s="352">
        <f t="shared" si="3"/>
        <v>0</v>
      </c>
      <c r="H131" s="409"/>
      <c r="I131" s="287"/>
      <c r="J131" s="269"/>
    </row>
    <row r="132" spans="1:10" x14ac:dyDescent="0.25">
      <c r="A132" s="350" t="s">
        <v>318</v>
      </c>
      <c r="B132" s="351" t="s">
        <v>372</v>
      </c>
      <c r="C132" s="350" t="s">
        <v>502</v>
      </c>
      <c r="D132" s="365" t="s">
        <v>73</v>
      </c>
      <c r="E132" s="350">
        <v>10</v>
      </c>
      <c r="F132" s="277"/>
      <c r="G132" s="352">
        <f t="shared" si="3"/>
        <v>0</v>
      </c>
      <c r="H132" s="409"/>
      <c r="I132" s="287"/>
      <c r="J132" s="269"/>
    </row>
    <row r="133" spans="1:10" x14ac:dyDescent="0.25">
      <c r="A133" s="350" t="s">
        <v>320</v>
      </c>
      <c r="B133" s="351" t="s">
        <v>372</v>
      </c>
      <c r="C133" s="350" t="s">
        <v>503</v>
      </c>
      <c r="D133" s="365" t="s">
        <v>73</v>
      </c>
      <c r="E133" s="350">
        <v>5</v>
      </c>
      <c r="F133" s="277"/>
      <c r="G133" s="352">
        <f t="shared" si="3"/>
        <v>0</v>
      </c>
      <c r="H133" s="373"/>
      <c r="I133" s="287"/>
      <c r="J133" s="269"/>
    </row>
    <row r="134" spans="1:10" x14ac:dyDescent="0.25">
      <c r="A134" s="350" t="s">
        <v>321</v>
      </c>
      <c r="B134" s="351" t="s">
        <v>372</v>
      </c>
      <c r="C134" s="350" t="s">
        <v>386</v>
      </c>
      <c r="D134" s="365" t="s">
        <v>73</v>
      </c>
      <c r="E134" s="350">
        <v>15</v>
      </c>
      <c r="F134" s="277"/>
      <c r="G134" s="352">
        <f t="shared" si="3"/>
        <v>0</v>
      </c>
      <c r="H134" s="352"/>
      <c r="I134" s="287"/>
      <c r="J134" s="269"/>
    </row>
    <row r="135" spans="1:10" ht="12.6" customHeight="1" x14ac:dyDescent="0.25">
      <c r="A135" s="350" t="s">
        <v>322</v>
      </c>
      <c r="B135" s="351" t="s">
        <v>372</v>
      </c>
      <c r="C135" s="350" t="s">
        <v>387</v>
      </c>
      <c r="D135" s="365" t="s">
        <v>73</v>
      </c>
      <c r="E135" s="350">
        <v>10</v>
      </c>
      <c r="F135" s="277"/>
      <c r="G135" s="352">
        <f t="shared" si="3"/>
        <v>0</v>
      </c>
      <c r="H135" s="326"/>
      <c r="J135" s="269"/>
    </row>
    <row r="136" spans="1:10" ht="12.6" customHeight="1" x14ac:dyDescent="0.25">
      <c r="A136" s="350" t="s">
        <v>323</v>
      </c>
      <c r="B136" s="351" t="s">
        <v>372</v>
      </c>
      <c r="C136" s="350" t="s">
        <v>388</v>
      </c>
      <c r="D136" s="365" t="s">
        <v>283</v>
      </c>
      <c r="E136" s="350">
        <v>670</v>
      </c>
      <c r="F136" s="277"/>
      <c r="G136" s="352">
        <f t="shared" si="3"/>
        <v>0</v>
      </c>
      <c r="H136" s="352"/>
      <c r="J136" s="269"/>
    </row>
    <row r="137" spans="1:10" ht="12.6" customHeight="1" x14ac:dyDescent="0.25">
      <c r="A137" s="350" t="s">
        <v>324</v>
      </c>
      <c r="B137" s="351" t="s">
        <v>372</v>
      </c>
      <c r="C137" s="350" t="s">
        <v>389</v>
      </c>
      <c r="D137" s="365" t="s">
        <v>283</v>
      </c>
      <c r="E137" s="350">
        <v>5</v>
      </c>
      <c r="F137" s="277"/>
      <c r="G137" s="352">
        <f t="shared" si="3"/>
        <v>0</v>
      </c>
      <c r="H137" s="352"/>
      <c r="J137" s="269"/>
    </row>
    <row r="138" spans="1:10" ht="12.6" customHeight="1" x14ac:dyDescent="0.25">
      <c r="A138" s="350" t="s">
        <v>326</v>
      </c>
      <c r="B138" s="351" t="s">
        <v>372</v>
      </c>
      <c r="C138" s="350" t="s">
        <v>331</v>
      </c>
      <c r="D138" s="365" t="s">
        <v>283</v>
      </c>
      <c r="E138" s="350">
        <v>320</v>
      </c>
      <c r="F138" s="277"/>
      <c r="G138" s="352">
        <f t="shared" si="3"/>
        <v>0</v>
      </c>
      <c r="H138" s="352"/>
      <c r="J138" s="269"/>
    </row>
    <row r="139" spans="1:10" ht="12.6" customHeight="1" x14ac:dyDescent="0.25">
      <c r="A139" s="350" t="s">
        <v>328</v>
      </c>
      <c r="B139" s="351" t="s">
        <v>372</v>
      </c>
      <c r="C139" s="350" t="s">
        <v>390</v>
      </c>
      <c r="D139" s="365" t="s">
        <v>283</v>
      </c>
      <c r="E139" s="350">
        <v>12</v>
      </c>
      <c r="F139" s="277"/>
      <c r="G139" s="352">
        <f t="shared" si="3"/>
        <v>0</v>
      </c>
      <c r="H139" s="352"/>
      <c r="J139" s="269"/>
    </row>
    <row r="140" spans="1:10" ht="12.6" customHeight="1" x14ac:dyDescent="0.25">
      <c r="A140" s="350" t="s">
        <v>330</v>
      </c>
      <c r="B140" s="351" t="s">
        <v>372</v>
      </c>
      <c r="C140" s="350" t="s">
        <v>391</v>
      </c>
      <c r="D140" s="365" t="s">
        <v>283</v>
      </c>
      <c r="E140" s="350">
        <v>34</v>
      </c>
      <c r="F140" s="277"/>
      <c r="G140" s="352">
        <f t="shared" si="3"/>
        <v>0</v>
      </c>
      <c r="H140" s="352"/>
      <c r="J140" s="269"/>
    </row>
    <row r="141" spans="1:10" ht="12.6" customHeight="1" x14ac:dyDescent="0.25">
      <c r="A141" s="350" t="s">
        <v>332</v>
      </c>
      <c r="B141" s="351" t="s">
        <v>372</v>
      </c>
      <c r="C141" s="359" t="s">
        <v>337</v>
      </c>
      <c r="D141" s="331" t="s">
        <v>283</v>
      </c>
      <c r="E141" s="360">
        <v>3</v>
      </c>
      <c r="F141" s="274"/>
      <c r="G141" s="352">
        <f t="shared" si="3"/>
        <v>0</v>
      </c>
      <c r="H141" s="352"/>
      <c r="J141" s="269"/>
    </row>
    <row r="142" spans="1:10" ht="12.6" customHeight="1" x14ac:dyDescent="0.25">
      <c r="A142" s="350" t="s">
        <v>334</v>
      </c>
      <c r="B142" s="351" t="s">
        <v>372</v>
      </c>
      <c r="C142" s="350" t="s">
        <v>392</v>
      </c>
      <c r="D142" s="331" t="s">
        <v>18</v>
      </c>
      <c r="E142" s="344">
        <v>0.6</v>
      </c>
      <c r="F142" s="274"/>
      <c r="G142" s="352">
        <f t="shared" si="3"/>
        <v>0</v>
      </c>
      <c r="H142" s="409"/>
      <c r="J142" s="269"/>
    </row>
    <row r="143" spans="1:10" ht="12.6" customHeight="1" x14ac:dyDescent="0.25">
      <c r="A143" s="344" t="s">
        <v>336</v>
      </c>
      <c r="B143" s="351" t="s">
        <v>372</v>
      </c>
      <c r="C143" s="344" t="s">
        <v>393</v>
      </c>
      <c r="D143" s="365" t="s">
        <v>283</v>
      </c>
      <c r="E143" s="350">
        <v>2</v>
      </c>
      <c r="F143" s="277"/>
      <c r="G143" s="352">
        <f t="shared" si="3"/>
        <v>0</v>
      </c>
      <c r="H143" s="409"/>
      <c r="I143" s="287"/>
      <c r="J143" s="269"/>
    </row>
    <row r="144" spans="1:10" ht="12.6" customHeight="1" x14ac:dyDescent="0.25">
      <c r="A144" s="344" t="s">
        <v>338</v>
      </c>
      <c r="B144" s="351" t="s">
        <v>372</v>
      </c>
      <c r="C144" s="350" t="s">
        <v>394</v>
      </c>
      <c r="D144" s="365" t="s">
        <v>283</v>
      </c>
      <c r="E144" s="350">
        <v>130</v>
      </c>
      <c r="F144" s="277"/>
      <c r="G144" s="352">
        <f t="shared" si="3"/>
        <v>0</v>
      </c>
      <c r="H144" s="326"/>
      <c r="I144" s="287"/>
      <c r="J144" s="269"/>
    </row>
    <row r="145" spans="1:10" ht="12.6" customHeight="1" x14ac:dyDescent="0.25">
      <c r="A145" s="344" t="s">
        <v>339</v>
      </c>
      <c r="B145" s="351" t="s">
        <v>372</v>
      </c>
      <c r="C145" s="350" t="s">
        <v>395</v>
      </c>
      <c r="D145" s="365" t="s">
        <v>283</v>
      </c>
      <c r="E145" s="350">
        <v>80</v>
      </c>
      <c r="F145" s="277"/>
      <c r="G145" s="352">
        <f t="shared" si="3"/>
        <v>0</v>
      </c>
      <c r="H145" s="326"/>
      <c r="I145" s="287"/>
      <c r="J145" s="269"/>
    </row>
    <row r="146" spans="1:10" ht="12.6" customHeight="1" x14ac:dyDescent="0.25">
      <c r="A146" s="344" t="s">
        <v>340</v>
      </c>
      <c r="B146" s="351" t="s">
        <v>372</v>
      </c>
      <c r="C146" s="350" t="s">
        <v>396</v>
      </c>
      <c r="D146" s="365" t="s">
        <v>283</v>
      </c>
      <c r="E146" s="350">
        <v>5</v>
      </c>
      <c r="F146" s="277"/>
      <c r="G146" s="352">
        <f t="shared" si="3"/>
        <v>0</v>
      </c>
      <c r="H146" s="326"/>
      <c r="I146" s="287"/>
      <c r="J146" s="287"/>
    </row>
    <row r="147" spans="1:10" ht="12.6" customHeight="1" x14ac:dyDescent="0.25">
      <c r="A147" s="344" t="s">
        <v>341</v>
      </c>
      <c r="B147" s="351" t="s">
        <v>372</v>
      </c>
      <c r="C147" s="344" t="s">
        <v>404</v>
      </c>
      <c r="D147" s="362" t="s">
        <v>283</v>
      </c>
      <c r="E147" s="360">
        <v>2</v>
      </c>
      <c r="F147" s="432"/>
      <c r="G147" s="345">
        <f>(E147*F147)</f>
        <v>0</v>
      </c>
      <c r="H147" s="326"/>
      <c r="I147" s="287"/>
      <c r="J147" s="287"/>
    </row>
    <row r="148" spans="1:10" ht="12.6" customHeight="1" x14ac:dyDescent="0.25">
      <c r="A148" s="328"/>
      <c r="B148" s="351"/>
      <c r="C148" s="326"/>
      <c r="D148" s="326"/>
      <c r="E148" s="326"/>
      <c r="G148" s="348"/>
      <c r="H148" s="326"/>
      <c r="I148" s="287"/>
      <c r="J148" s="287"/>
    </row>
    <row r="149" spans="1:10" ht="12.6" customHeight="1" x14ac:dyDescent="0.25">
      <c r="A149" s="350"/>
      <c r="B149" s="351"/>
      <c r="C149" s="350"/>
      <c r="D149" s="331"/>
      <c r="E149" s="328"/>
      <c r="F149" s="270"/>
      <c r="G149" s="367">
        <f>SUM(G114:G148)</f>
        <v>0</v>
      </c>
      <c r="H149" s="326"/>
      <c r="I149" s="287"/>
      <c r="J149" s="287"/>
    </row>
    <row r="150" spans="1:10" ht="12.6" customHeight="1" x14ac:dyDescent="0.25">
      <c r="A150" s="350"/>
      <c r="B150" s="351"/>
      <c r="C150" s="350"/>
      <c r="D150" s="365"/>
      <c r="E150" s="350"/>
      <c r="F150" s="277"/>
      <c r="G150" s="352"/>
      <c r="H150" s="373"/>
      <c r="I150" s="287"/>
      <c r="J150" s="287"/>
    </row>
    <row r="151" spans="1:10" ht="12.6" customHeight="1" x14ac:dyDescent="0.25">
      <c r="A151" s="368"/>
      <c r="B151" s="369"/>
      <c r="C151" s="370" t="s">
        <v>397</v>
      </c>
      <c r="D151" s="370"/>
      <c r="E151" s="369"/>
      <c r="F151" s="281"/>
      <c r="G151" s="372"/>
      <c r="H151" s="326"/>
      <c r="I151" s="287"/>
      <c r="J151" s="287"/>
    </row>
    <row r="152" spans="1:10" ht="12.6" customHeight="1" x14ac:dyDescent="0.25">
      <c r="A152" s="350"/>
      <c r="B152" s="350"/>
      <c r="C152" s="350"/>
      <c r="D152" s="350"/>
      <c r="E152" s="350"/>
      <c r="F152" s="277"/>
      <c r="G152" s="352"/>
      <c r="H152" s="373"/>
      <c r="I152" s="287"/>
      <c r="J152" s="287"/>
    </row>
    <row r="153" spans="1:10" ht="12.6" customHeight="1" x14ac:dyDescent="0.25">
      <c r="A153" s="350" t="s">
        <v>281</v>
      </c>
      <c r="B153" s="351" t="s">
        <v>372</v>
      </c>
      <c r="C153" s="350" t="s">
        <v>398</v>
      </c>
      <c r="D153" s="365" t="s">
        <v>283</v>
      </c>
      <c r="E153" s="350">
        <v>66</v>
      </c>
      <c r="F153" s="277"/>
      <c r="G153" s="352">
        <f>(E153*F153)</f>
        <v>0</v>
      </c>
      <c r="H153" s="373"/>
      <c r="I153" s="287"/>
      <c r="J153" s="287"/>
    </row>
    <row r="154" spans="1:10" ht="12.6" customHeight="1" x14ac:dyDescent="0.25">
      <c r="A154" s="350"/>
      <c r="B154" s="351"/>
      <c r="C154" s="350"/>
      <c r="D154" s="343"/>
      <c r="E154" s="350"/>
      <c r="F154" s="277"/>
      <c r="G154" s="348"/>
      <c r="H154" s="326"/>
      <c r="I154" s="287"/>
      <c r="J154" s="287"/>
    </row>
    <row r="155" spans="1:10" ht="12.6" customHeight="1" x14ac:dyDescent="0.25">
      <c r="A155" s="326"/>
      <c r="B155" s="326"/>
      <c r="C155" s="326"/>
      <c r="D155" s="326"/>
      <c r="E155" s="326"/>
      <c r="G155" s="367">
        <f>SUM(G153:G154)</f>
        <v>0</v>
      </c>
      <c r="H155" s="326"/>
      <c r="I155" s="269"/>
      <c r="J155" s="287"/>
    </row>
    <row r="156" spans="1:10" ht="12.6" customHeight="1" x14ac:dyDescent="0.25">
      <c r="A156" s="344"/>
      <c r="B156" s="351"/>
      <c r="C156" s="326"/>
      <c r="D156" s="326"/>
      <c r="E156" s="326"/>
      <c r="G156" s="348"/>
      <c r="H156" s="326"/>
      <c r="I156" s="269"/>
      <c r="J156" s="287"/>
    </row>
    <row r="157" spans="1:10" ht="12.6" customHeight="1" x14ac:dyDescent="0.25">
      <c r="A157" s="368"/>
      <c r="B157" s="369"/>
      <c r="C157" s="370" t="s">
        <v>399</v>
      </c>
      <c r="D157" s="370"/>
      <c r="E157" s="369"/>
      <c r="F157" s="281"/>
      <c r="G157" s="372"/>
      <c r="H157" s="326"/>
      <c r="I157" s="269"/>
      <c r="J157" s="287"/>
    </row>
    <row r="158" spans="1:10" ht="12.6" customHeight="1" x14ac:dyDescent="0.25">
      <c r="A158" s="350"/>
      <c r="B158" s="350"/>
      <c r="C158" s="350"/>
      <c r="D158" s="350"/>
      <c r="E158" s="350"/>
      <c r="F158" s="277"/>
      <c r="G158" s="352"/>
      <c r="H158" s="326"/>
      <c r="I158" s="269"/>
      <c r="J158" s="287"/>
    </row>
    <row r="159" spans="1:10" ht="12.6" customHeight="1" x14ac:dyDescent="0.25">
      <c r="A159" s="350" t="s">
        <v>281</v>
      </c>
      <c r="B159" s="351" t="s">
        <v>372</v>
      </c>
      <c r="C159" s="350" t="s">
        <v>400</v>
      </c>
      <c r="D159" s="365" t="s">
        <v>73</v>
      </c>
      <c r="E159" s="350">
        <v>235</v>
      </c>
      <c r="F159" s="277"/>
      <c r="G159" s="352">
        <f t="shared" ref="G159:G171" si="4">E159*F159</f>
        <v>0</v>
      </c>
      <c r="H159" s="326"/>
      <c r="I159" s="269"/>
      <c r="J159" s="287"/>
    </row>
    <row r="160" spans="1:10" ht="12.6" customHeight="1" x14ac:dyDescent="0.25">
      <c r="A160" s="350" t="s">
        <v>284</v>
      </c>
      <c r="B160" s="351" t="s">
        <v>372</v>
      </c>
      <c r="C160" s="350" t="s">
        <v>401</v>
      </c>
      <c r="D160" s="365" t="s">
        <v>73</v>
      </c>
      <c r="E160" s="350">
        <v>1130</v>
      </c>
      <c r="F160" s="277"/>
      <c r="G160" s="352">
        <f t="shared" si="4"/>
        <v>0</v>
      </c>
      <c r="H160" s="326"/>
      <c r="I160" s="269"/>
      <c r="J160" s="287"/>
    </row>
    <row r="161" spans="1:10" ht="12.6" customHeight="1" x14ac:dyDescent="0.25">
      <c r="A161" s="350" t="s">
        <v>285</v>
      </c>
      <c r="B161" s="351" t="s">
        <v>372</v>
      </c>
      <c r="C161" s="350" t="s">
        <v>402</v>
      </c>
      <c r="D161" s="365" t="s">
        <v>73</v>
      </c>
      <c r="E161" s="350">
        <v>890</v>
      </c>
      <c r="F161" s="277"/>
      <c r="G161" s="352">
        <f t="shared" si="4"/>
        <v>0</v>
      </c>
      <c r="H161" s="326"/>
      <c r="I161" s="269"/>
      <c r="J161" s="287"/>
    </row>
    <row r="162" spans="1:10" ht="12.6" customHeight="1" x14ac:dyDescent="0.25">
      <c r="A162" s="350" t="s">
        <v>286</v>
      </c>
      <c r="B162" s="351" t="s">
        <v>372</v>
      </c>
      <c r="C162" s="350" t="s">
        <v>403</v>
      </c>
      <c r="D162" s="365" t="s">
        <v>73</v>
      </c>
      <c r="E162" s="350">
        <v>40</v>
      </c>
      <c r="F162" s="277"/>
      <c r="G162" s="352">
        <f t="shared" si="4"/>
        <v>0</v>
      </c>
      <c r="H162" s="326"/>
      <c r="I162" s="269"/>
      <c r="J162" s="287"/>
    </row>
    <row r="163" spans="1:10" ht="12.6" customHeight="1" x14ac:dyDescent="0.25">
      <c r="A163" s="350" t="s">
        <v>287</v>
      </c>
      <c r="B163" s="351" t="s">
        <v>372</v>
      </c>
      <c r="C163" s="350" t="s">
        <v>361</v>
      </c>
      <c r="D163" s="331" t="s">
        <v>73</v>
      </c>
      <c r="E163" s="328">
        <v>12</v>
      </c>
      <c r="F163" s="270"/>
      <c r="G163" s="352">
        <f t="shared" si="4"/>
        <v>0</v>
      </c>
      <c r="H163" s="326"/>
      <c r="I163" s="287"/>
      <c r="J163" s="287"/>
    </row>
    <row r="164" spans="1:10" ht="12.6" customHeight="1" x14ac:dyDescent="0.25">
      <c r="A164" s="350" t="s">
        <v>294</v>
      </c>
      <c r="B164" s="351" t="s">
        <v>372</v>
      </c>
      <c r="C164" s="350" t="s">
        <v>791</v>
      </c>
      <c r="D164" s="331" t="s">
        <v>73</v>
      </c>
      <c r="E164" s="328">
        <v>5</v>
      </c>
      <c r="F164" s="270"/>
      <c r="G164" s="352">
        <f t="shared" si="4"/>
        <v>0</v>
      </c>
      <c r="H164" s="326"/>
      <c r="J164" s="287"/>
    </row>
    <row r="165" spans="1:10" ht="12.6" customHeight="1" x14ac:dyDescent="0.25">
      <c r="A165" s="350" t="s">
        <v>296</v>
      </c>
      <c r="B165" s="351" t="s">
        <v>372</v>
      </c>
      <c r="C165" s="350" t="s">
        <v>362</v>
      </c>
      <c r="D165" s="331" t="s">
        <v>73</v>
      </c>
      <c r="E165" s="328">
        <v>50</v>
      </c>
      <c r="F165" s="270"/>
      <c r="G165" s="352">
        <f t="shared" si="4"/>
        <v>0</v>
      </c>
      <c r="H165" s="326"/>
      <c r="J165" s="287"/>
    </row>
    <row r="166" spans="1:10" x14ac:dyDescent="0.25">
      <c r="A166" s="350" t="s">
        <v>298</v>
      </c>
      <c r="B166" s="351" t="s">
        <v>372</v>
      </c>
      <c r="C166" s="350" t="s">
        <v>363</v>
      </c>
      <c r="D166" s="331" t="s">
        <v>73</v>
      </c>
      <c r="E166" s="328">
        <v>60</v>
      </c>
      <c r="F166" s="270"/>
      <c r="G166" s="352">
        <f t="shared" si="4"/>
        <v>0</v>
      </c>
      <c r="H166" s="326"/>
      <c r="J166" s="287"/>
    </row>
    <row r="167" spans="1:10" x14ac:dyDescent="0.25">
      <c r="A167" s="350" t="s">
        <v>300</v>
      </c>
      <c r="B167" s="351" t="s">
        <v>372</v>
      </c>
      <c r="C167" s="350" t="s">
        <v>364</v>
      </c>
      <c r="D167" s="331" t="s">
        <v>73</v>
      </c>
      <c r="E167" s="328">
        <v>70</v>
      </c>
      <c r="F167" s="270"/>
      <c r="G167" s="352">
        <f t="shared" si="4"/>
        <v>0</v>
      </c>
      <c r="H167" s="326"/>
      <c r="J167" s="287"/>
    </row>
    <row r="168" spans="1:10" x14ac:dyDescent="0.25">
      <c r="A168" s="350" t="s">
        <v>302</v>
      </c>
      <c r="B168" s="351" t="s">
        <v>372</v>
      </c>
      <c r="C168" s="350" t="s">
        <v>365</v>
      </c>
      <c r="D168" s="331" t="s">
        <v>73</v>
      </c>
      <c r="E168" s="328">
        <v>120</v>
      </c>
      <c r="F168" s="270"/>
      <c r="G168" s="352">
        <f t="shared" si="4"/>
        <v>0</v>
      </c>
      <c r="H168" s="326"/>
      <c r="J168" s="287"/>
    </row>
    <row r="169" spans="1:10" x14ac:dyDescent="0.25">
      <c r="A169" s="350" t="s">
        <v>303</v>
      </c>
      <c r="B169" s="351" t="s">
        <v>372</v>
      </c>
      <c r="C169" s="350" t="s">
        <v>366</v>
      </c>
      <c r="D169" s="331" t="s">
        <v>73</v>
      </c>
      <c r="E169" s="328">
        <v>10</v>
      </c>
      <c r="F169" s="270"/>
      <c r="G169" s="352">
        <f t="shared" si="4"/>
        <v>0</v>
      </c>
      <c r="H169" s="326"/>
      <c r="J169" s="287"/>
    </row>
    <row r="170" spans="1:10" x14ac:dyDescent="0.25">
      <c r="A170" s="350" t="s">
        <v>304</v>
      </c>
      <c r="B170" s="351" t="s">
        <v>372</v>
      </c>
      <c r="C170" s="350" t="s">
        <v>499</v>
      </c>
      <c r="D170" s="331" t="s">
        <v>73</v>
      </c>
      <c r="E170" s="328">
        <v>5</v>
      </c>
      <c r="F170" s="270"/>
      <c r="G170" s="352">
        <f t="shared" si="4"/>
        <v>0</v>
      </c>
      <c r="H170" s="326"/>
      <c r="J170" s="287"/>
    </row>
    <row r="171" spans="1:10" x14ac:dyDescent="0.25">
      <c r="A171" s="350" t="s">
        <v>306</v>
      </c>
      <c r="B171" s="351" t="s">
        <v>372</v>
      </c>
      <c r="C171" s="328" t="s">
        <v>792</v>
      </c>
      <c r="D171" s="331" t="s">
        <v>73</v>
      </c>
      <c r="E171" s="328">
        <v>10</v>
      </c>
      <c r="F171" s="277"/>
      <c r="G171" s="352">
        <f t="shared" si="4"/>
        <v>0</v>
      </c>
      <c r="H171" s="326"/>
      <c r="J171" s="287"/>
    </row>
    <row r="172" spans="1:10" x14ac:dyDescent="0.25">
      <c r="A172" s="350" t="s">
        <v>308</v>
      </c>
      <c r="B172" s="351" t="s">
        <v>372</v>
      </c>
      <c r="C172" s="344" t="s">
        <v>405</v>
      </c>
      <c r="D172" s="331" t="s">
        <v>73</v>
      </c>
      <c r="E172" s="331">
        <v>5</v>
      </c>
      <c r="F172" s="274"/>
      <c r="G172" s="345">
        <f>(E172*F172)</f>
        <v>0</v>
      </c>
      <c r="H172" s="326"/>
      <c r="J172" s="287"/>
    </row>
    <row r="173" spans="1:10" x14ac:dyDescent="0.25">
      <c r="A173" s="350"/>
      <c r="B173" s="351"/>
      <c r="C173" s="326"/>
      <c r="D173" s="326"/>
      <c r="E173" s="326"/>
      <c r="G173" s="348"/>
      <c r="H173" s="326"/>
      <c r="J173" s="287"/>
    </row>
    <row r="174" spans="1:10" x14ac:dyDescent="0.25">
      <c r="A174" s="328"/>
      <c r="B174" s="339"/>
      <c r="C174" s="326"/>
      <c r="D174" s="326"/>
      <c r="E174" s="326"/>
      <c r="G174" s="367">
        <f>SUM(G159:G173)</f>
        <v>0</v>
      </c>
      <c r="H174" s="326"/>
      <c r="J174" s="287"/>
    </row>
    <row r="175" spans="1:10" x14ac:dyDescent="0.25">
      <c r="A175" s="328"/>
      <c r="B175" s="339"/>
      <c r="C175" s="326"/>
      <c r="D175" s="326"/>
      <c r="E175" s="326"/>
      <c r="G175" s="410"/>
      <c r="H175" s="373"/>
      <c r="J175" s="287"/>
    </row>
    <row r="176" spans="1:10" x14ac:dyDescent="0.25">
      <c r="A176" s="405"/>
      <c r="B176" s="411"/>
      <c r="C176" s="370" t="s">
        <v>406</v>
      </c>
      <c r="D176" s="370"/>
      <c r="E176" s="370"/>
      <c r="F176" s="289"/>
      <c r="G176" s="407"/>
      <c r="H176" s="373"/>
      <c r="J176" s="287"/>
    </row>
    <row r="177" spans="1:10" x14ac:dyDescent="0.25">
      <c r="A177" s="350"/>
      <c r="B177" s="351"/>
      <c r="C177" s="350"/>
      <c r="D177" s="350"/>
      <c r="E177" s="350"/>
      <c r="F177" s="277"/>
      <c r="G177" s="352"/>
      <c r="H177" s="373"/>
      <c r="J177" s="287"/>
    </row>
    <row r="178" spans="1:10" x14ac:dyDescent="0.25">
      <c r="A178" s="350" t="s">
        <v>281</v>
      </c>
      <c r="B178" s="412" t="s">
        <v>372</v>
      </c>
      <c r="C178" s="350" t="s">
        <v>407</v>
      </c>
      <c r="D178" s="362" t="s">
        <v>283</v>
      </c>
      <c r="E178" s="350">
        <v>133</v>
      </c>
      <c r="F178" s="277"/>
      <c r="G178" s="352">
        <f t="shared" ref="G178:G199" si="5">E178*F178</f>
        <v>0</v>
      </c>
      <c r="H178" s="373"/>
      <c r="J178" s="287"/>
    </row>
    <row r="179" spans="1:10" x14ac:dyDescent="0.25">
      <c r="A179" s="350" t="s">
        <v>284</v>
      </c>
      <c r="B179" s="412" t="s">
        <v>372</v>
      </c>
      <c r="C179" s="350" t="s">
        <v>408</v>
      </c>
      <c r="D179" s="362" t="s">
        <v>283</v>
      </c>
      <c r="E179" s="350">
        <v>27</v>
      </c>
      <c r="F179" s="277"/>
      <c r="G179" s="352">
        <f t="shared" si="5"/>
        <v>0</v>
      </c>
      <c r="H179" s="373"/>
      <c r="J179" s="287"/>
    </row>
    <row r="180" spans="1:10" x14ac:dyDescent="0.25">
      <c r="A180" s="350" t="s">
        <v>285</v>
      </c>
      <c r="B180" s="412" t="s">
        <v>372</v>
      </c>
      <c r="C180" s="350" t="s">
        <v>409</v>
      </c>
      <c r="D180" s="362" t="s">
        <v>73</v>
      </c>
      <c r="E180" s="350">
        <v>190</v>
      </c>
      <c r="F180" s="277"/>
      <c r="G180" s="352">
        <f t="shared" si="5"/>
        <v>0</v>
      </c>
      <c r="H180" s="326"/>
      <c r="J180" s="287"/>
    </row>
    <row r="181" spans="1:10" x14ac:dyDescent="0.25">
      <c r="A181" s="350" t="s">
        <v>286</v>
      </c>
      <c r="B181" s="412" t="s">
        <v>372</v>
      </c>
      <c r="C181" s="350" t="s">
        <v>799</v>
      </c>
      <c r="D181" s="362" t="s">
        <v>73</v>
      </c>
      <c r="E181" s="350">
        <v>190</v>
      </c>
      <c r="F181" s="277"/>
      <c r="G181" s="352">
        <f t="shared" si="5"/>
        <v>0</v>
      </c>
      <c r="H181" s="326"/>
    </row>
    <row r="182" spans="1:10" x14ac:dyDescent="0.25">
      <c r="A182" s="350" t="s">
        <v>287</v>
      </c>
      <c r="B182" s="412" t="s">
        <v>372</v>
      </c>
      <c r="C182" s="350" t="s">
        <v>410</v>
      </c>
      <c r="D182" s="362" t="s">
        <v>73</v>
      </c>
      <c r="E182" s="350">
        <v>110</v>
      </c>
      <c r="F182" s="277"/>
      <c r="G182" s="352">
        <f t="shared" si="5"/>
        <v>0</v>
      </c>
      <c r="H182" s="326"/>
    </row>
    <row r="183" spans="1:10" x14ac:dyDescent="0.25">
      <c r="A183" s="350" t="s">
        <v>294</v>
      </c>
      <c r="B183" s="412" t="s">
        <v>372</v>
      </c>
      <c r="C183" s="350" t="s">
        <v>800</v>
      </c>
      <c r="D183" s="362" t="s">
        <v>73</v>
      </c>
      <c r="E183" s="350">
        <v>110</v>
      </c>
      <c r="F183" s="277"/>
      <c r="G183" s="352">
        <f t="shared" si="5"/>
        <v>0</v>
      </c>
      <c r="H183" s="326"/>
    </row>
    <row r="184" spans="1:10" x14ac:dyDescent="0.25">
      <c r="A184" s="350" t="s">
        <v>296</v>
      </c>
      <c r="B184" s="412" t="s">
        <v>372</v>
      </c>
      <c r="C184" s="350" t="s">
        <v>411</v>
      </c>
      <c r="D184" s="362" t="s">
        <v>73</v>
      </c>
      <c r="E184" s="350">
        <v>55</v>
      </c>
      <c r="F184" s="277"/>
      <c r="G184" s="352">
        <f t="shared" si="5"/>
        <v>0</v>
      </c>
      <c r="H184" s="326"/>
    </row>
    <row r="185" spans="1:10" x14ac:dyDescent="0.25">
      <c r="A185" s="350" t="s">
        <v>298</v>
      </c>
      <c r="B185" s="412" t="s">
        <v>372</v>
      </c>
      <c r="C185" s="350" t="s">
        <v>801</v>
      </c>
      <c r="D185" s="362" t="s">
        <v>73</v>
      </c>
      <c r="E185" s="350">
        <v>55</v>
      </c>
      <c r="F185" s="277"/>
      <c r="G185" s="352">
        <f t="shared" si="5"/>
        <v>0</v>
      </c>
      <c r="H185" s="326"/>
    </row>
    <row r="186" spans="1:10" ht="12.9" customHeight="1" x14ac:dyDescent="0.25">
      <c r="A186" s="350" t="s">
        <v>300</v>
      </c>
      <c r="B186" s="412" t="s">
        <v>372</v>
      </c>
      <c r="C186" s="350" t="s">
        <v>412</v>
      </c>
      <c r="D186" s="362" t="s">
        <v>73</v>
      </c>
      <c r="E186" s="350">
        <v>20</v>
      </c>
      <c r="F186" s="277"/>
      <c r="G186" s="352">
        <f t="shared" si="5"/>
        <v>0</v>
      </c>
      <c r="H186" s="373"/>
    </row>
    <row r="187" spans="1:10" ht="12.9" customHeight="1" x14ac:dyDescent="0.25">
      <c r="A187" s="350" t="s">
        <v>302</v>
      </c>
      <c r="B187" s="412" t="s">
        <v>372</v>
      </c>
      <c r="C187" s="350" t="s">
        <v>802</v>
      </c>
      <c r="D187" s="362" t="s">
        <v>73</v>
      </c>
      <c r="E187" s="350">
        <v>20</v>
      </c>
      <c r="F187" s="277"/>
      <c r="G187" s="352">
        <f t="shared" si="5"/>
        <v>0</v>
      </c>
      <c r="H187" s="326"/>
    </row>
    <row r="188" spans="1:10" x14ac:dyDescent="0.25">
      <c r="A188" s="350" t="s">
        <v>303</v>
      </c>
      <c r="B188" s="412" t="s">
        <v>372</v>
      </c>
      <c r="C188" s="350" t="s">
        <v>413</v>
      </c>
      <c r="D188" s="362" t="s">
        <v>283</v>
      </c>
      <c r="E188" s="350">
        <v>12</v>
      </c>
      <c r="F188" s="277"/>
      <c r="G188" s="352">
        <f t="shared" si="5"/>
        <v>0</v>
      </c>
      <c r="H188" s="328"/>
    </row>
    <row r="189" spans="1:10" x14ac:dyDescent="0.25">
      <c r="A189" s="350" t="s">
        <v>304</v>
      </c>
      <c r="B189" s="412" t="s">
        <v>372</v>
      </c>
      <c r="C189" s="350" t="s">
        <v>414</v>
      </c>
      <c r="D189" s="362" t="s">
        <v>283</v>
      </c>
      <c r="E189" s="350">
        <v>8</v>
      </c>
      <c r="F189" s="277"/>
      <c r="G189" s="352">
        <f t="shared" si="5"/>
        <v>0</v>
      </c>
      <c r="H189" s="326"/>
    </row>
    <row r="190" spans="1:10" x14ac:dyDescent="0.25">
      <c r="A190" s="350" t="s">
        <v>306</v>
      </c>
      <c r="B190" s="351" t="s">
        <v>372</v>
      </c>
      <c r="C190" s="350" t="s">
        <v>415</v>
      </c>
      <c r="D190" s="362" t="s">
        <v>283</v>
      </c>
      <c r="E190" s="350">
        <v>1</v>
      </c>
      <c r="F190" s="277"/>
      <c r="G190" s="352">
        <f t="shared" si="5"/>
        <v>0</v>
      </c>
      <c r="H190" s="326"/>
    </row>
    <row r="191" spans="1:10" x14ac:dyDescent="0.25">
      <c r="A191" s="350" t="s">
        <v>308</v>
      </c>
      <c r="B191" s="351" t="s">
        <v>372</v>
      </c>
      <c r="C191" s="344" t="s">
        <v>416</v>
      </c>
      <c r="D191" s="362" t="s">
        <v>283</v>
      </c>
      <c r="E191" s="350">
        <v>1</v>
      </c>
      <c r="F191" s="277"/>
      <c r="G191" s="352">
        <f t="shared" si="5"/>
        <v>0</v>
      </c>
      <c r="H191" s="326"/>
    </row>
    <row r="192" spans="1:10" x14ac:dyDescent="0.25">
      <c r="A192" s="350" t="s">
        <v>310</v>
      </c>
      <c r="B192" s="351" t="s">
        <v>372</v>
      </c>
      <c r="C192" s="344" t="s">
        <v>803</v>
      </c>
      <c r="D192" s="362" t="s">
        <v>283</v>
      </c>
      <c r="E192" s="344">
        <v>1</v>
      </c>
      <c r="F192" s="274"/>
      <c r="G192" s="352">
        <f t="shared" si="5"/>
        <v>0</v>
      </c>
      <c r="H192" s="326"/>
    </row>
    <row r="193" spans="1:10" x14ac:dyDescent="0.25">
      <c r="A193" s="350" t="s">
        <v>312</v>
      </c>
      <c r="B193" s="351" t="s">
        <v>372</v>
      </c>
      <c r="C193" s="350" t="s">
        <v>417</v>
      </c>
      <c r="D193" s="362" t="s">
        <v>118</v>
      </c>
      <c r="E193" s="365">
        <v>2.1</v>
      </c>
      <c r="F193" s="277"/>
      <c r="G193" s="352">
        <f t="shared" si="5"/>
        <v>0</v>
      </c>
      <c r="H193" s="350"/>
      <c r="J193" s="287"/>
    </row>
    <row r="194" spans="1:10" ht="20.399999999999999" x14ac:dyDescent="0.25">
      <c r="A194" s="342" t="s">
        <v>314</v>
      </c>
      <c r="B194" s="413" t="s">
        <v>372</v>
      </c>
      <c r="C194" s="342" t="s">
        <v>418</v>
      </c>
      <c r="D194" s="414" t="s">
        <v>118</v>
      </c>
      <c r="E194" s="415">
        <v>2.1</v>
      </c>
      <c r="F194" s="433"/>
      <c r="G194" s="375">
        <f t="shared" si="5"/>
        <v>0</v>
      </c>
      <c r="H194" s="328"/>
      <c r="J194" s="287"/>
    </row>
    <row r="195" spans="1:10" ht="20.399999999999999" x14ac:dyDescent="0.25">
      <c r="A195" s="342" t="s">
        <v>316</v>
      </c>
      <c r="B195" s="416" t="s">
        <v>372</v>
      </c>
      <c r="C195" s="342" t="s">
        <v>419</v>
      </c>
      <c r="D195" s="414" t="s">
        <v>118</v>
      </c>
      <c r="E195" s="415">
        <v>2.1</v>
      </c>
      <c r="F195" s="433"/>
      <c r="G195" s="375">
        <f t="shared" si="5"/>
        <v>0</v>
      </c>
      <c r="H195" s="352"/>
      <c r="J195" s="287"/>
    </row>
    <row r="196" spans="1:10" ht="20.399999999999999" x14ac:dyDescent="0.25">
      <c r="A196" s="415" t="s">
        <v>318</v>
      </c>
      <c r="B196" s="416" t="s">
        <v>372</v>
      </c>
      <c r="C196" s="342" t="s">
        <v>420</v>
      </c>
      <c r="D196" s="414" t="s">
        <v>18</v>
      </c>
      <c r="E196" s="415">
        <v>210</v>
      </c>
      <c r="F196" s="433"/>
      <c r="G196" s="375">
        <f t="shared" si="5"/>
        <v>0</v>
      </c>
      <c r="H196" s="352"/>
      <c r="J196" s="287"/>
    </row>
    <row r="197" spans="1:10" x14ac:dyDescent="0.25">
      <c r="A197" s="356" t="s">
        <v>320</v>
      </c>
      <c r="B197" s="364" t="s">
        <v>372</v>
      </c>
      <c r="C197" s="328" t="s">
        <v>804</v>
      </c>
      <c r="D197" s="365" t="s">
        <v>73</v>
      </c>
      <c r="E197" s="328">
        <v>1</v>
      </c>
      <c r="F197" s="271"/>
      <c r="G197" s="352">
        <f t="shared" si="5"/>
        <v>0</v>
      </c>
      <c r="H197" s="352"/>
      <c r="J197" s="287"/>
    </row>
    <row r="198" spans="1:10" x14ac:dyDescent="0.25">
      <c r="A198" s="356" t="s">
        <v>321</v>
      </c>
      <c r="B198" s="364" t="s">
        <v>372</v>
      </c>
      <c r="C198" s="328" t="s">
        <v>805</v>
      </c>
      <c r="D198" s="365" t="s">
        <v>73</v>
      </c>
      <c r="E198" s="328">
        <v>1</v>
      </c>
      <c r="F198" s="271"/>
      <c r="G198" s="352">
        <f t="shared" si="5"/>
        <v>0</v>
      </c>
      <c r="H198" s="352"/>
      <c r="I198" s="287"/>
      <c r="J198" s="287"/>
    </row>
    <row r="199" spans="1:10" x14ac:dyDescent="0.25">
      <c r="A199" s="356" t="s">
        <v>322</v>
      </c>
      <c r="B199" s="364" t="s">
        <v>372</v>
      </c>
      <c r="C199" s="328" t="s">
        <v>504</v>
      </c>
      <c r="D199" s="365" t="s">
        <v>18</v>
      </c>
      <c r="E199" s="363">
        <v>2</v>
      </c>
      <c r="F199" s="280"/>
      <c r="G199" s="352">
        <f t="shared" si="5"/>
        <v>0</v>
      </c>
      <c r="H199" s="326"/>
      <c r="J199" s="287"/>
    </row>
    <row r="200" spans="1:10" x14ac:dyDescent="0.25">
      <c r="A200" s="415"/>
      <c r="B200" s="416"/>
      <c r="C200" s="326"/>
      <c r="D200" s="326"/>
      <c r="E200" s="326"/>
      <c r="G200" s="348"/>
      <c r="H200" s="326"/>
      <c r="J200" s="287"/>
    </row>
    <row r="201" spans="1:10" x14ac:dyDescent="0.25">
      <c r="A201" s="356"/>
      <c r="B201" s="364"/>
      <c r="C201" s="326"/>
      <c r="D201" s="326"/>
      <c r="E201" s="326"/>
      <c r="G201" s="367">
        <f>SUM(G178:G200)</f>
        <v>0</v>
      </c>
      <c r="H201" s="326"/>
      <c r="J201" s="287"/>
    </row>
    <row r="202" spans="1:10" x14ac:dyDescent="0.25">
      <c r="A202" s="326"/>
      <c r="B202" s="326"/>
      <c r="C202" s="326"/>
      <c r="D202" s="326"/>
      <c r="E202" s="326"/>
      <c r="G202" s="348"/>
      <c r="H202" s="326"/>
      <c r="J202" s="287"/>
    </row>
    <row r="203" spans="1:10" x14ac:dyDescent="0.25">
      <c r="A203" s="405"/>
      <c r="B203" s="411"/>
      <c r="C203" s="370" t="s">
        <v>421</v>
      </c>
      <c r="D203" s="370"/>
      <c r="E203" s="370"/>
      <c r="F203" s="289"/>
      <c r="G203" s="407"/>
      <c r="H203" s="326"/>
      <c r="J203" s="287"/>
    </row>
    <row r="204" spans="1:10" x14ac:dyDescent="0.25">
      <c r="A204" s="350"/>
      <c r="B204" s="351"/>
      <c r="C204" s="350"/>
      <c r="D204" s="350"/>
      <c r="E204" s="350"/>
      <c r="F204" s="277"/>
      <c r="G204" s="352"/>
      <c r="H204" s="326"/>
      <c r="J204" s="288"/>
    </row>
    <row r="205" spans="1:10" x14ac:dyDescent="0.25">
      <c r="A205" s="350" t="s">
        <v>281</v>
      </c>
      <c r="B205" s="412" t="s">
        <v>372</v>
      </c>
      <c r="C205" s="350" t="s">
        <v>422</v>
      </c>
      <c r="D205" s="365" t="s">
        <v>423</v>
      </c>
      <c r="E205" s="365">
        <v>8</v>
      </c>
      <c r="F205" s="278"/>
      <c r="G205" s="353">
        <f t="shared" ref="G205:G212" si="6">E205*F205</f>
        <v>0</v>
      </c>
      <c r="H205" s="326"/>
      <c r="J205" s="288"/>
    </row>
    <row r="206" spans="1:10" x14ac:dyDescent="0.25">
      <c r="A206" s="350" t="s">
        <v>284</v>
      </c>
      <c r="B206" s="412" t="s">
        <v>372</v>
      </c>
      <c r="C206" s="350" t="s">
        <v>424</v>
      </c>
      <c r="D206" s="365" t="s">
        <v>423</v>
      </c>
      <c r="E206" s="365">
        <v>14</v>
      </c>
      <c r="F206" s="278"/>
      <c r="G206" s="353">
        <f t="shared" si="6"/>
        <v>0</v>
      </c>
      <c r="H206" s="326"/>
      <c r="J206" s="288"/>
    </row>
    <row r="207" spans="1:10" x14ac:dyDescent="0.25">
      <c r="A207" s="350" t="s">
        <v>285</v>
      </c>
      <c r="B207" s="412" t="s">
        <v>372</v>
      </c>
      <c r="C207" s="350" t="s">
        <v>425</v>
      </c>
      <c r="D207" s="365" t="s">
        <v>423</v>
      </c>
      <c r="E207" s="365">
        <v>40</v>
      </c>
      <c r="F207" s="278"/>
      <c r="G207" s="353">
        <f t="shared" si="6"/>
        <v>0</v>
      </c>
      <c r="H207" s="326"/>
      <c r="J207" s="288"/>
    </row>
    <row r="208" spans="1:10" x14ac:dyDescent="0.25">
      <c r="A208" s="350" t="s">
        <v>286</v>
      </c>
      <c r="B208" s="412" t="s">
        <v>372</v>
      </c>
      <c r="C208" s="350" t="s">
        <v>426</v>
      </c>
      <c r="D208" s="365" t="s">
        <v>423</v>
      </c>
      <c r="E208" s="365">
        <v>4</v>
      </c>
      <c r="F208" s="278"/>
      <c r="G208" s="353">
        <f t="shared" si="6"/>
        <v>0</v>
      </c>
      <c r="H208" s="326"/>
      <c r="J208" s="288"/>
    </row>
    <row r="209" spans="1:10" x14ac:dyDescent="0.25">
      <c r="A209" s="350" t="s">
        <v>287</v>
      </c>
      <c r="B209" s="412" t="s">
        <v>372</v>
      </c>
      <c r="C209" s="328" t="s">
        <v>427</v>
      </c>
      <c r="D209" s="365" t="s">
        <v>423</v>
      </c>
      <c r="E209" s="365">
        <v>20</v>
      </c>
      <c r="F209" s="278"/>
      <c r="G209" s="353">
        <f t="shared" si="6"/>
        <v>0</v>
      </c>
      <c r="H209" s="373"/>
      <c r="J209" s="288"/>
    </row>
    <row r="210" spans="1:10" x14ac:dyDescent="0.25">
      <c r="A210" s="350" t="s">
        <v>294</v>
      </c>
      <c r="B210" s="412" t="s">
        <v>372</v>
      </c>
      <c r="C210" s="328" t="s">
        <v>428</v>
      </c>
      <c r="D210" s="365" t="s">
        <v>423</v>
      </c>
      <c r="E210" s="365">
        <v>14</v>
      </c>
      <c r="F210" s="278"/>
      <c r="G210" s="353">
        <f t="shared" si="6"/>
        <v>0</v>
      </c>
      <c r="H210" s="326"/>
      <c r="J210" s="288"/>
    </row>
    <row r="211" spans="1:10" x14ac:dyDescent="0.25">
      <c r="A211" s="350" t="s">
        <v>296</v>
      </c>
      <c r="B211" s="412" t="s">
        <v>372</v>
      </c>
      <c r="C211" s="350" t="s">
        <v>429</v>
      </c>
      <c r="D211" s="365" t="s">
        <v>423</v>
      </c>
      <c r="E211" s="365">
        <v>8</v>
      </c>
      <c r="F211" s="278"/>
      <c r="G211" s="353">
        <f t="shared" si="6"/>
        <v>0</v>
      </c>
      <c r="H211" s="326"/>
      <c r="J211" s="288"/>
    </row>
    <row r="212" spans="1:10" x14ac:dyDescent="0.25">
      <c r="A212" s="350" t="s">
        <v>298</v>
      </c>
      <c r="B212" s="412" t="s">
        <v>372</v>
      </c>
      <c r="C212" s="350" t="s">
        <v>430</v>
      </c>
      <c r="D212" s="365" t="s">
        <v>423</v>
      </c>
      <c r="E212" s="365">
        <v>4</v>
      </c>
      <c r="F212" s="278"/>
      <c r="G212" s="353">
        <f t="shared" si="6"/>
        <v>0</v>
      </c>
      <c r="H212" s="326"/>
      <c r="J212" s="288"/>
    </row>
    <row r="213" spans="1:10" x14ac:dyDescent="0.25">
      <c r="A213" s="350"/>
      <c r="B213" s="412"/>
      <c r="C213" s="328"/>
      <c r="D213" s="365"/>
      <c r="E213" s="365"/>
      <c r="F213" s="353"/>
      <c r="G213" s="353"/>
      <c r="H213" s="373"/>
      <c r="I213" s="287"/>
      <c r="J213" s="288"/>
    </row>
    <row r="214" spans="1:10" x14ac:dyDescent="0.25">
      <c r="A214" s="350"/>
      <c r="B214" s="351"/>
      <c r="C214" s="328"/>
      <c r="D214" s="328"/>
      <c r="E214" s="328"/>
      <c r="F214" s="329"/>
      <c r="G214" s="367">
        <f>SUM(G205:G213)</f>
        <v>0</v>
      </c>
      <c r="H214" s="326"/>
      <c r="I214" s="287"/>
    </row>
    <row r="215" spans="1:10" x14ac:dyDescent="0.25">
      <c r="A215" s="328"/>
      <c r="B215" s="339"/>
      <c r="C215" s="328"/>
      <c r="D215" s="328"/>
      <c r="E215" s="328"/>
      <c r="F215" s="329"/>
      <c r="G215" s="329"/>
      <c r="H215" s="326"/>
      <c r="I215" s="287"/>
      <c r="J215" s="288"/>
    </row>
    <row r="216" spans="1:10" x14ac:dyDescent="0.25">
      <c r="A216" s="417"/>
      <c r="B216" s="418"/>
      <c r="C216" s="419"/>
      <c r="D216" s="419"/>
      <c r="E216" s="419"/>
      <c r="F216" s="420"/>
      <c r="G216" s="421"/>
      <c r="H216" s="326"/>
      <c r="I216" s="287"/>
      <c r="J216" s="288"/>
    </row>
    <row r="217" spans="1:10" x14ac:dyDescent="0.25">
      <c r="A217" s="422"/>
      <c r="B217" s="423"/>
      <c r="C217" s="424" t="s">
        <v>431</v>
      </c>
      <c r="D217" s="424"/>
      <c r="E217" s="424"/>
      <c r="F217" s="425"/>
      <c r="G217" s="426">
        <f>SUM(G214+G201+G174+G155+G149+G110)</f>
        <v>0</v>
      </c>
      <c r="H217" s="326"/>
      <c r="I217" s="287"/>
    </row>
    <row r="218" spans="1:10" x14ac:dyDescent="0.25">
      <c r="A218" s="427"/>
      <c r="B218" s="428"/>
      <c r="C218" s="429"/>
      <c r="D218" s="429"/>
      <c r="E218" s="429"/>
      <c r="F218" s="430"/>
      <c r="G218" s="431"/>
      <c r="H218" s="326"/>
      <c r="I218" s="287"/>
    </row>
    <row r="219" spans="1:10" x14ac:dyDescent="0.25">
      <c r="A219" s="326"/>
      <c r="B219" s="326"/>
      <c r="C219" s="326"/>
      <c r="D219" s="326"/>
      <c r="E219" s="326"/>
      <c r="F219" s="348"/>
      <c r="G219" s="348"/>
      <c r="H219" s="326"/>
      <c r="I219" s="287"/>
    </row>
    <row r="220" spans="1:10" x14ac:dyDescent="0.25">
      <c r="A220" s="326"/>
      <c r="B220" s="326"/>
      <c r="C220" s="326"/>
      <c r="D220" s="326"/>
      <c r="E220" s="326"/>
      <c r="F220" s="348"/>
      <c r="G220" s="348"/>
      <c r="H220" s="326"/>
    </row>
  </sheetData>
  <sheetProtection algorithmName="SHA-512" hashValue="IzaM/YoCjQVZGqefFc4ZC8IfQfKyr0fOpqTVtb+H6/b0ZDdsVcaxntqVgrGnZ98k+mGZvNKhGyX8ucyJYCMbEQ==" saltValue="o9f6GyOjcvucxq6MqfzcnQ==" spinCount="100000" sheet="1" objects="1" scenarios="1"/>
  <pageMargins left="0.59055118110236204" right="0.59055118110236204" top="0.78740157480314998" bottom="0.78740157480314998" header="0.31496062992126" footer="0.31496062992126"/>
  <pageSetup paperSize="9" scale="87" fitToHeight="9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27</vt:i4>
      </vt:variant>
    </vt:vector>
  </HeadingPairs>
  <TitlesOfParts>
    <vt:vector size="36" baseType="lpstr">
      <vt:lpstr>KL</vt:lpstr>
      <vt:lpstr>VRN</vt:lpstr>
      <vt:lpstr>Stavební  část</vt:lpstr>
      <vt:lpstr>Gastro zařízení</vt:lpstr>
      <vt:lpstr>Zdravotechnika</vt:lpstr>
      <vt:lpstr>Vzduchotechnika</vt:lpstr>
      <vt:lpstr>Vytápění</vt:lpstr>
      <vt:lpstr>Slaboproud</vt:lpstr>
      <vt:lpstr>Silnoproud</vt:lpstr>
      <vt:lpstr>KL!CelkemObjekty</vt:lpstr>
      <vt:lpstr>KL!dadresa</vt:lpstr>
      <vt:lpstr>KL!DIČ</vt:lpstr>
      <vt:lpstr>Vzduchotechnika!EDBEN_VZ</vt:lpstr>
      <vt:lpstr>Zdravotechnika!EDBEN_ZT</vt:lpstr>
      <vt:lpstr>KL!IČO</vt:lpstr>
      <vt:lpstr>Vytápění!LIPKH_UT</vt:lpstr>
      <vt:lpstr>KL!NazevObjektu</vt:lpstr>
      <vt:lpstr>KL!NazevStavby</vt:lpstr>
      <vt:lpstr>KL!Objednatel</vt:lpstr>
      <vt:lpstr>KL!Objekt</vt:lpstr>
      <vt:lpstr>'Gastro zařízení'!Oblast_tisku</vt:lpstr>
      <vt:lpstr>KL!Oblast_tisku</vt:lpstr>
      <vt:lpstr>Silnoproud!Oblast_tisku</vt:lpstr>
      <vt:lpstr>Slaboproud!Oblast_tisku</vt:lpstr>
      <vt:lpstr>'Stavební  část'!Oblast_tisku</vt:lpstr>
      <vt:lpstr>VRN!Oblast_tisku</vt:lpstr>
      <vt:lpstr>Vytápění!Oblast_tisku</vt:lpstr>
      <vt:lpstr>Vzduchotechnika!Oblast_tisku</vt:lpstr>
      <vt:lpstr>Zdravotechnika!Oblast_tisku</vt:lpstr>
      <vt:lpstr>KL!odic</vt:lpstr>
      <vt:lpstr>KL!oico</vt:lpstr>
      <vt:lpstr>KL!onazev</vt:lpstr>
      <vt:lpstr>KL!SazbaDPH1</vt:lpstr>
      <vt:lpstr>KL!SazbaDPH2</vt:lpstr>
      <vt:lpstr>KL!StavbaCelkem</vt:lpstr>
      <vt:lpstr>KL!Zhotovitel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Chalupski Martin</cp:lastModifiedBy>
  <cp:lastPrinted>2022-11-09T15:19:45Z</cp:lastPrinted>
  <dcterms:created xsi:type="dcterms:W3CDTF">2017-11-23T09:24:09Z</dcterms:created>
  <dcterms:modified xsi:type="dcterms:W3CDTF">2023-01-26T07:55:10Z</dcterms:modified>
</cp:coreProperties>
</file>