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3740" yWindow="1680" windowWidth="38400" windowHeight="19404" activeTab="0"/>
  </bookViews>
  <sheets>
    <sheet name="KL" sheetId="14" r:id="rId1"/>
    <sheet name="VRN" sheetId="17" r:id="rId2"/>
    <sheet name="Stavební  část" sheetId="3" r:id="rId3"/>
    <sheet name="Zpevněné plochy" sheetId="30" r:id="rId4"/>
    <sheet name="Silnoproud" sheetId="32" r:id="rId5"/>
    <sheet name="Slaboproud" sheetId="39" r:id="rId6"/>
    <sheet name="EZS" sheetId="40" r:id="rId7"/>
    <sheet name="Kanalizace" sheetId="35" r:id="rId8"/>
    <sheet name="Vytápění" sheetId="36" r:id="rId9"/>
    <sheet name="Vzduchotechnika" sheetId="37" r:id="rId10"/>
    <sheet name="ZTI" sheetId="38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obl11" localSheetId="3">#REF!</definedName>
    <definedName name="__obl11">#REF!</definedName>
    <definedName name="__obl12" localSheetId="3">#REF!</definedName>
    <definedName name="__obl12">#REF!</definedName>
    <definedName name="__obl13" localSheetId="3">#REF!</definedName>
    <definedName name="__obl13">#REF!</definedName>
    <definedName name="__obl14" localSheetId="3">#REF!</definedName>
    <definedName name="__obl14">#REF!</definedName>
    <definedName name="__obl15" localSheetId="3">#REF!</definedName>
    <definedName name="__obl15">#REF!</definedName>
    <definedName name="__obl16" localSheetId="3">#REF!</definedName>
    <definedName name="__obl16">#REF!</definedName>
    <definedName name="__obl17" localSheetId="3">#REF!</definedName>
    <definedName name="__obl17">#REF!</definedName>
    <definedName name="__obl1710" localSheetId="3">#REF!</definedName>
    <definedName name="__obl1710">#REF!</definedName>
    <definedName name="__obl1711" localSheetId="3">#REF!</definedName>
    <definedName name="__obl1711">#REF!</definedName>
    <definedName name="__obl1712" localSheetId="3">#REF!</definedName>
    <definedName name="__obl1712">#REF!</definedName>
    <definedName name="__obl1713" localSheetId="3">#REF!</definedName>
    <definedName name="__obl1713">#REF!</definedName>
    <definedName name="__obl1714" localSheetId="3">#REF!</definedName>
    <definedName name="__obl1714">#REF!</definedName>
    <definedName name="__obl1715" localSheetId="3">#REF!</definedName>
    <definedName name="__obl1715">#REF!</definedName>
    <definedName name="__obl1716" localSheetId="3">#REF!</definedName>
    <definedName name="__obl1716">#REF!</definedName>
    <definedName name="__obl1717" localSheetId="3">#REF!</definedName>
    <definedName name="__obl1717">#REF!</definedName>
    <definedName name="__obl1718" localSheetId="3">#REF!</definedName>
    <definedName name="__obl1718">#REF!</definedName>
    <definedName name="__obl1719" localSheetId="3">#REF!</definedName>
    <definedName name="__obl1719">#REF!</definedName>
    <definedName name="__obl173" localSheetId="3">#REF!</definedName>
    <definedName name="__obl173">#REF!</definedName>
    <definedName name="__obl174" localSheetId="3">#REF!</definedName>
    <definedName name="__obl174">#REF!</definedName>
    <definedName name="__obl175" localSheetId="3">#REF!</definedName>
    <definedName name="__obl175">#REF!</definedName>
    <definedName name="__obl176" localSheetId="3">#REF!</definedName>
    <definedName name="__obl176">#REF!</definedName>
    <definedName name="__obl177" localSheetId="3">#REF!</definedName>
    <definedName name="__obl177">#REF!</definedName>
    <definedName name="__obl178" localSheetId="3">#REF!</definedName>
    <definedName name="__obl178">#REF!</definedName>
    <definedName name="__obl179" localSheetId="3">#REF!</definedName>
    <definedName name="__obl179">#REF!</definedName>
    <definedName name="__obl18" localSheetId="3">#REF!</definedName>
    <definedName name="__obl18">#REF!</definedName>
    <definedName name="__obl181" localSheetId="3">#REF!</definedName>
    <definedName name="__obl181">#REF!</definedName>
    <definedName name="__obl1816" localSheetId="3">#REF!</definedName>
    <definedName name="__obl1816">#REF!</definedName>
    <definedName name="__obl1820" localSheetId="3">#REF!</definedName>
    <definedName name="__obl1820">#REF!</definedName>
    <definedName name="__obl1821" localSheetId="3">#REF!</definedName>
    <definedName name="__obl1821">#REF!</definedName>
    <definedName name="__obl1822" localSheetId="3">#REF!</definedName>
    <definedName name="__obl1822">#REF!</definedName>
    <definedName name="__obl1823" localSheetId="3">#REF!</definedName>
    <definedName name="__obl1823">#REF!</definedName>
    <definedName name="__obl1824" localSheetId="3">#REF!</definedName>
    <definedName name="__obl1824">#REF!</definedName>
    <definedName name="__obl1825" localSheetId="3">#REF!</definedName>
    <definedName name="__obl1825">#REF!</definedName>
    <definedName name="__obl1826" localSheetId="3">#REF!</definedName>
    <definedName name="__obl1826">#REF!</definedName>
    <definedName name="__obl1827" localSheetId="3">#REF!</definedName>
    <definedName name="__obl1827">#REF!</definedName>
    <definedName name="__obl1828" localSheetId="3">#REF!</definedName>
    <definedName name="__obl1828">#REF!</definedName>
    <definedName name="__obl1829" localSheetId="3">#REF!</definedName>
    <definedName name="__obl1829">#REF!</definedName>
    <definedName name="__obl183" localSheetId="3">#REF!</definedName>
    <definedName name="__obl183">#REF!</definedName>
    <definedName name="__obl1831" localSheetId="3">#REF!</definedName>
    <definedName name="__obl1831">#REF!</definedName>
    <definedName name="__obl1832" localSheetId="3">#REF!</definedName>
    <definedName name="__obl1832">#REF!</definedName>
    <definedName name="__obl184" localSheetId="3">#REF!</definedName>
    <definedName name="__obl184">#REF!</definedName>
    <definedName name="__obl185" localSheetId="3">#REF!</definedName>
    <definedName name="__obl185">#REF!</definedName>
    <definedName name="__obl186" localSheetId="3">#REF!</definedName>
    <definedName name="__obl186">#REF!</definedName>
    <definedName name="__obl187" localSheetId="3">#REF!</definedName>
    <definedName name="__obl187">#REF!</definedName>
    <definedName name="_obl11" localSheetId="1">#REF!</definedName>
    <definedName name="_obl11" localSheetId="3">#REF!</definedName>
    <definedName name="_obl11">#REF!</definedName>
    <definedName name="_obl12" localSheetId="1">#REF!</definedName>
    <definedName name="_obl12" localSheetId="3">#REF!</definedName>
    <definedName name="_obl12">#REF!</definedName>
    <definedName name="_obl13" localSheetId="1">#REF!</definedName>
    <definedName name="_obl13" localSheetId="3">#REF!</definedName>
    <definedName name="_obl13">#REF!</definedName>
    <definedName name="_obl14" localSheetId="3">#REF!</definedName>
    <definedName name="_obl14">#REF!</definedName>
    <definedName name="_obl15" localSheetId="3">#REF!</definedName>
    <definedName name="_obl15">#REF!</definedName>
    <definedName name="_obl16" localSheetId="3">#REF!</definedName>
    <definedName name="_obl16">#REF!</definedName>
    <definedName name="_obl17" localSheetId="3">#REF!</definedName>
    <definedName name="_obl17">#REF!</definedName>
    <definedName name="_obl1710" localSheetId="3">#REF!</definedName>
    <definedName name="_obl1710">#REF!</definedName>
    <definedName name="_obl1711" localSheetId="3">#REF!</definedName>
    <definedName name="_obl1711">#REF!</definedName>
    <definedName name="_obl1712" localSheetId="3">#REF!</definedName>
    <definedName name="_obl1712">#REF!</definedName>
    <definedName name="_obl1713" localSheetId="3">#REF!</definedName>
    <definedName name="_obl1713">#REF!</definedName>
    <definedName name="_obl1714" localSheetId="3">#REF!</definedName>
    <definedName name="_obl1714">#REF!</definedName>
    <definedName name="_obl1715" localSheetId="3">#REF!</definedName>
    <definedName name="_obl1715">#REF!</definedName>
    <definedName name="_obl1716" localSheetId="3">#REF!</definedName>
    <definedName name="_obl1716">#REF!</definedName>
    <definedName name="_obl1717" localSheetId="3">#REF!</definedName>
    <definedName name="_obl1717">#REF!</definedName>
    <definedName name="_obl1718" localSheetId="3">#REF!</definedName>
    <definedName name="_obl1718">#REF!</definedName>
    <definedName name="_obl1719" localSheetId="3">#REF!</definedName>
    <definedName name="_obl1719">#REF!</definedName>
    <definedName name="_obl173" localSheetId="3">#REF!</definedName>
    <definedName name="_obl173">#REF!</definedName>
    <definedName name="_obl174" localSheetId="3">#REF!</definedName>
    <definedName name="_obl174">#REF!</definedName>
    <definedName name="_obl175" localSheetId="3">#REF!</definedName>
    <definedName name="_obl175">#REF!</definedName>
    <definedName name="_obl176" localSheetId="3">#REF!</definedName>
    <definedName name="_obl176">#REF!</definedName>
    <definedName name="_obl177" localSheetId="3">#REF!</definedName>
    <definedName name="_obl177">#REF!</definedName>
    <definedName name="_obl178" localSheetId="3">#REF!</definedName>
    <definedName name="_obl178">#REF!</definedName>
    <definedName name="_obl179" localSheetId="3">#REF!</definedName>
    <definedName name="_obl179">#REF!</definedName>
    <definedName name="_obl18" localSheetId="3">#REF!</definedName>
    <definedName name="_obl18">#REF!</definedName>
    <definedName name="_obl181" localSheetId="3">#REF!</definedName>
    <definedName name="_obl181">#REF!</definedName>
    <definedName name="_obl1816" localSheetId="3">#REF!</definedName>
    <definedName name="_obl1816">#REF!</definedName>
    <definedName name="_obl1820" localSheetId="3">#REF!</definedName>
    <definedName name="_obl1820">#REF!</definedName>
    <definedName name="_obl1821" localSheetId="3">#REF!</definedName>
    <definedName name="_obl1821">#REF!</definedName>
    <definedName name="_obl1822" localSheetId="3">#REF!</definedName>
    <definedName name="_obl1822">#REF!</definedName>
    <definedName name="_obl1823" localSheetId="3">#REF!</definedName>
    <definedName name="_obl1823">#REF!</definedName>
    <definedName name="_obl1824" localSheetId="3">#REF!</definedName>
    <definedName name="_obl1824">#REF!</definedName>
    <definedName name="_obl1825" localSheetId="3">#REF!</definedName>
    <definedName name="_obl1825">#REF!</definedName>
    <definedName name="_obl1826" localSheetId="3">#REF!</definedName>
    <definedName name="_obl1826">#REF!</definedName>
    <definedName name="_obl1827" localSheetId="3">#REF!</definedName>
    <definedName name="_obl1827">#REF!</definedName>
    <definedName name="_obl1828" localSheetId="3">#REF!</definedName>
    <definedName name="_obl1828">#REF!</definedName>
    <definedName name="_obl1829" localSheetId="3">#REF!</definedName>
    <definedName name="_obl1829">#REF!</definedName>
    <definedName name="_obl183" localSheetId="3">#REF!</definedName>
    <definedName name="_obl183">#REF!</definedName>
    <definedName name="_obl1831" localSheetId="3">#REF!</definedName>
    <definedName name="_obl1831">#REF!</definedName>
    <definedName name="_obl1832" localSheetId="3">#REF!</definedName>
    <definedName name="_obl1832">#REF!</definedName>
    <definedName name="_obl184" localSheetId="3">#REF!</definedName>
    <definedName name="_obl184">#REF!</definedName>
    <definedName name="_obl185" localSheetId="3">#REF!</definedName>
    <definedName name="_obl185">#REF!</definedName>
    <definedName name="_obl186" localSheetId="3">#REF!</definedName>
    <definedName name="_obl186">#REF!</definedName>
    <definedName name="_obl187" localSheetId="3">#REF!</definedName>
    <definedName name="_obl187">#REF!</definedName>
    <definedName name="_SO16" localSheetId="0" hidden="1">{#N/A,#N/A,TRUE,"Krycí list"}</definedName>
    <definedName name="_SO16" localSheetId="1" hidden="1">{#N/A,#N/A,TRUE,"Krycí list"}</definedName>
    <definedName name="_SO16" hidden="1">{#N/A,#N/A,TRUE,"Krycí list"}</definedName>
    <definedName name="_VZT1" localSheetId="0">SCHEDULED_PAYMENT+EXTRA_PAYMENT</definedName>
    <definedName name="_VZT1" localSheetId="1">SCHEDULED_PAYMENT+EXTRA_PAYMENT</definedName>
    <definedName name="_VZT1" localSheetId="3">SCHEDULED_PAYMENT+EXTRA_PAYMENT</definedName>
    <definedName name="_VZT1">SCHEDULED_PAYMENT+EXTRA_PAYMENT</definedName>
    <definedName name="_VZT2" localSheetId="0">DATE(YEAR([1]!Loan_Start),MONTH([1]!Loan_Start)+PAYMENT_NUMBER,DAY([1]!Loan_Start))</definedName>
    <definedName name="_VZT2" localSheetId="1">DATE(YEAR([1]!Loan_Start),MONTH([1]!Loan_Start)+PAYMENT_NUMBER,DAY([1]!Loan_Start))</definedName>
    <definedName name="_VZT2" localSheetId="3">DATE(YEAR('Zpevněné plochy'!Loan_Start),MONTH('Zpevněné plochy'!Loan_Start)+PAYMENT_NUMBER,DAY('Zpevněné plochy'!Loan_Start))</definedName>
    <definedName name="_VZT2">DATE(YEAR([1]!Loan_Start),MONTH([1]!Loan_Start)+PAYMENT_NUMBER,DAY([1]!Loan_Start))</definedName>
    <definedName name="_vzt3" localSheetId="1">#REF!</definedName>
    <definedName name="_vzt3" localSheetId="3">#REF!</definedName>
    <definedName name="_vzt3">#REF!</definedName>
    <definedName name="_VZT5" localSheetId="1">#REF!</definedName>
    <definedName name="_VZT5" localSheetId="3">#REF!</definedName>
    <definedName name="_VZT5">#REF!</definedName>
    <definedName name="_VZT6" localSheetId="1">#REF!</definedName>
    <definedName name="_VZT6" localSheetId="3">#REF!</definedName>
    <definedName name="_VZT6">#REF!</definedName>
    <definedName name="_VZT8" localSheetId="3">#REF!</definedName>
    <definedName name="_VZT8">#REF!</definedName>
    <definedName name="a" localSheetId="3">#REF!</definedName>
    <definedName name="a">#REF!</definedName>
    <definedName name="aaaaaaaa" localSheetId="0" hidden="1">{#N/A,#N/A,TRUE,"Krycí list"}</definedName>
    <definedName name="aaaaaaaa" localSheetId="1" hidden="1">{#N/A,#N/A,TRUE,"Krycí list"}</definedName>
    <definedName name="aaaaaaaa" hidden="1">{#N/A,#N/A,TRUE,"Krycí list"}</definedName>
    <definedName name="ASA">'[4]Krycí list'!$A$7</definedName>
    <definedName name="Beg_Bal" localSheetId="1">#REF!</definedName>
    <definedName name="Beg_Bal" localSheetId="3">#REF!</definedName>
    <definedName name="Beg_Bal">#REF!</definedName>
    <definedName name="bghrerr" localSheetId="1">#REF!</definedName>
    <definedName name="bghrerr" localSheetId="3">#REF!</definedName>
    <definedName name="bghrerr">#REF!</definedName>
    <definedName name="bhvfdgvf" localSheetId="1">#REF!</definedName>
    <definedName name="bhvfdgvf" localSheetId="3">#REF!</definedName>
    <definedName name="bhvfdgvf">#REF!</definedName>
    <definedName name="body_celkem" localSheetId="1">#REF!</definedName>
    <definedName name="body_celkem" localSheetId="3">#REF!</definedName>
    <definedName name="body_celkem">#REF!</definedName>
    <definedName name="body_kapitoly" localSheetId="1">#REF!</definedName>
    <definedName name="body_kapitoly" localSheetId="3">#REF!</definedName>
    <definedName name="body_kapitoly">#REF!</definedName>
    <definedName name="body_pomocny" localSheetId="1">#REF!</definedName>
    <definedName name="body_pomocny" localSheetId="3">#REF!</definedName>
    <definedName name="body_pomocny">#REF!</definedName>
    <definedName name="body_rozpocty" localSheetId="1">#REF!</definedName>
    <definedName name="body_rozpocty" localSheetId="3">#REF!</definedName>
    <definedName name="body_rozpocty">#REF!</definedName>
    <definedName name="category1" localSheetId="1">#REF!</definedName>
    <definedName name="category1" localSheetId="3">#REF!</definedName>
    <definedName name="category1">#REF!</definedName>
    <definedName name="CelkemObjekty" localSheetId="0">'KL'!$F$39</definedName>
    <definedName name="celkrozp" localSheetId="1">#REF!</definedName>
    <definedName name="celkrozp" localSheetId="3">#REF!</definedName>
    <definedName name="celkrozp">#REF!</definedName>
    <definedName name="Ceník" localSheetId="4">'[5]Cenik'!$A$1:$F$20293</definedName>
    <definedName name="Ceník">'[6]Cenik'!$A$1:$F$20293</definedName>
    <definedName name="cisloobjektu" localSheetId="0">#REF!</definedName>
    <definedName name="cisloobjektu" localSheetId="1">#REF!</definedName>
    <definedName name="cisloobjektu">'[7]Krycí list'!$A$5</definedName>
    <definedName name="CisloStavby" localSheetId="0">'KL'!#REF!</definedName>
    <definedName name="cislostavby" localSheetId="1">#REF!</definedName>
    <definedName name="cislostavby">'[7]Krycí list'!$A$7</definedName>
    <definedName name="d" localSheetId="0" hidden="1">{#N/A,#N/A,TRUE,"Krycí list"}</definedName>
    <definedName name="d" localSheetId="1" hidden="1">{#N/A,#N/A,TRUE,"Krycí list"}</definedName>
    <definedName name="d" hidden="1">{#N/A,#N/A,TRUE,"Krycí list"}</definedName>
    <definedName name="dadresa" localSheetId="0">'KL'!$D$9</definedName>
    <definedName name="Data" localSheetId="1">#REF!</definedName>
    <definedName name="Data" localSheetId="3">#REF!</definedName>
    <definedName name="Data">#REF!</definedName>
    <definedName name="Datum" localSheetId="0">#REF!</definedName>
    <definedName name="Datum" localSheetId="1">#REF!</definedName>
    <definedName name="Datum" localSheetId="3">#REF!</definedName>
    <definedName name="Datum">#REF!</definedName>
    <definedName name="dfdaf" localSheetId="3">#REF!</definedName>
    <definedName name="dfdaf">#REF!</definedName>
    <definedName name="DIČ" localSheetId="0">'KL'!$J$9</definedName>
    <definedName name="Dil" localSheetId="0">#REF!</definedName>
    <definedName name="Dil" localSheetId="1">#REF!</definedName>
    <definedName name="Dil" localSheetId="3">#REF!</definedName>
    <definedName name="Dil">#REF!</definedName>
    <definedName name="DKGJSDGS" localSheetId="1">#REF!</definedName>
    <definedName name="DKGJSDGS" localSheetId="3">#REF!</definedName>
    <definedName name="DKGJSDGS">#REF!</definedName>
    <definedName name="dmisto" localSheetId="0">'KL'!#REF!</definedName>
    <definedName name="dod" localSheetId="1">#REF!</definedName>
    <definedName name="dod" localSheetId="3">#REF!</definedName>
    <definedName name="dod">#REF!</definedName>
    <definedName name="Dodavka" localSheetId="0">#REF!</definedName>
    <definedName name="Dodavka" localSheetId="3">#REF!</definedName>
    <definedName name="Dodavka">#REF!</definedName>
    <definedName name="Dodavka0" localSheetId="0">#REF!</definedName>
    <definedName name="Dodavka0" localSheetId="1">#REF!</definedName>
    <definedName name="Dodavka0" localSheetId="3">#REF!</definedName>
    <definedName name="Dodavka0">#REF!</definedName>
    <definedName name="dpsc" localSheetId="0">'KL'!#REF!</definedName>
    <definedName name="dsfbhbg" localSheetId="1">#REF!</definedName>
    <definedName name="dsfbhbg" localSheetId="3">#REF!</definedName>
    <definedName name="dsfbhbg">#REF!</definedName>
    <definedName name="End_Bal" localSheetId="1">#REF!</definedName>
    <definedName name="End_Bal" localSheetId="3">#REF!</definedName>
    <definedName name="End_Bal">#REF!</definedName>
    <definedName name="exter1" localSheetId="1">#REF!</definedName>
    <definedName name="exter1" localSheetId="3">#REF!</definedName>
    <definedName name="exter1">#REF!</definedName>
    <definedName name="Extra_Pay" localSheetId="3">#REF!</definedName>
    <definedName name="Extra_Pay">#REF!</definedName>
    <definedName name="f" localSheetId="3">#REF!</definedName>
    <definedName name="f">#REF!</definedName>
    <definedName name="Full_Print" localSheetId="3">#REF!</definedName>
    <definedName name="Full_Print">#REF!</definedName>
    <definedName name="ha" localSheetId="3">#REF!</definedName>
    <definedName name="ha">#REF!</definedName>
    <definedName name="Header_Row" localSheetId="3">ROW(#REF!)</definedName>
    <definedName name="Header_Row">ROW(#REF!)</definedName>
    <definedName name="hovno" localSheetId="3">#REF!</definedName>
    <definedName name="hovno">#REF!</definedName>
    <definedName name="hs" localSheetId="3">#REF!</definedName>
    <definedName name="hs">#REF!</definedName>
    <definedName name="HSV" localSheetId="0">#REF!</definedName>
    <definedName name="HSV" localSheetId="3">#REF!</definedName>
    <definedName name="HSV">#REF!</definedName>
    <definedName name="HSV0" localSheetId="0">#REF!</definedName>
    <definedName name="HSV0" localSheetId="1">#REF!</definedName>
    <definedName name="HSV0" localSheetId="3">#REF!</definedName>
    <definedName name="HSV0">#REF!</definedName>
    <definedName name="HZS" localSheetId="0">#REF!</definedName>
    <definedName name="HZS" localSheetId="1">#REF!</definedName>
    <definedName name="HZS" localSheetId="3">#REF!</definedName>
    <definedName name="HZS">#REF!</definedName>
    <definedName name="HZS0" localSheetId="0">#REF!</definedName>
    <definedName name="HZS0" localSheetId="1">#REF!</definedName>
    <definedName name="HZS0" localSheetId="3">#REF!</definedName>
    <definedName name="HZS0">#REF!</definedName>
    <definedName name="IČO" localSheetId="0">'KL'!$J$8</definedName>
    <definedName name="Int" localSheetId="1">#REF!</definedName>
    <definedName name="Int" localSheetId="3">#REF!</definedName>
    <definedName name="Int">#REF!</definedName>
    <definedName name="inter1" localSheetId="1">#REF!</definedName>
    <definedName name="inter1" localSheetId="3">#REF!</definedName>
    <definedName name="inter1">#REF!</definedName>
    <definedName name="Interest_Rate" localSheetId="1">#REF!</definedName>
    <definedName name="Interest_Rate" localSheetId="3">#REF!</definedName>
    <definedName name="Interest_Rate">#REF!</definedName>
    <definedName name="JKSO" localSheetId="0">#REF!</definedName>
    <definedName name="JKSO" localSheetId="3">#REF!</definedName>
    <definedName name="JKSO">#REF!</definedName>
    <definedName name="jzzuggt" localSheetId="3">#REF!</definedName>
    <definedName name="jzzuggt">#REF!</definedName>
    <definedName name="Last_Row" localSheetId="0">IF('KL'!Values_Entered,Header_Row+'KL'!Number_of_Payments,Header_Row)</definedName>
    <definedName name="Last_Row" localSheetId="1">#N/A</definedName>
    <definedName name="Last_Row" localSheetId="3">#N/A</definedName>
    <definedName name="Last_Row">IF('KL'!Values_Entered,Header_Row+'KL'!Number_of_Payments,Header_Row)</definedName>
    <definedName name="Light" localSheetId="0" hidden="1">{#N/A,#N/A,TRUE,"Krycí list"}</definedName>
    <definedName name="Light" localSheetId="1" hidden="1">{#N/A,#N/A,TRUE,"Krycí list"}</definedName>
    <definedName name="Light" hidden="1">{#N/A,#N/A,TRUE,"Krycí list"}</definedName>
    <definedName name="Lighting" localSheetId="0" hidden="1">{#N/A,#N/A,TRUE,"Krycí list"}</definedName>
    <definedName name="Lighting" localSheetId="1" hidden="1">{#N/A,#N/A,TRUE,"Krycí list"}</definedName>
    <definedName name="Lighting" hidden="1">{#N/A,#N/A,TRUE,"Krycí list"}</definedName>
    <definedName name="LIPSK_ID" localSheetId="7">'Kanalizace'!$A$1:$J$50</definedName>
    <definedName name="LIPSK_UT" localSheetId="8">'Vytápění'!$A$1:$J$59</definedName>
    <definedName name="LIPSK_VZ" localSheetId="9">'Vzduchotechnika'!$A$1:$J$59</definedName>
    <definedName name="LIPSK_ZT" localSheetId="10">'ZTI'!$A$1:$J$105</definedName>
    <definedName name="Loan_Amount" localSheetId="3">#REF!</definedName>
    <definedName name="Loan_Amount">#REF!</definedName>
    <definedName name="Loan_Start" localSheetId="3">#REF!</definedName>
    <definedName name="Loan_Start">#REF!</definedName>
    <definedName name="Loan_Years" localSheetId="3">#REF!</definedName>
    <definedName name="Loan_Years">#REF!</definedName>
    <definedName name="MaR" localSheetId="0" hidden="1">{#N/A,#N/A,TRUE,"Krycí list"}</definedName>
    <definedName name="MaR" localSheetId="1" hidden="1">{#N/A,#N/A,TRUE,"Krycí list"}</definedName>
    <definedName name="MaR" hidden="1">{#N/A,#N/A,TRUE,"Krycí list"}</definedName>
    <definedName name="meraregulace" localSheetId="0" hidden="1">{#N/A,#N/A,TRUE,"Krycí list"}</definedName>
    <definedName name="meraregulace" localSheetId="1" hidden="1">{#N/A,#N/A,TRUE,"Krycí list"}</definedName>
    <definedName name="meraregulace" hidden="1">{#N/A,#N/A,TRUE,"Krycí list"}</definedName>
    <definedName name="mereni" localSheetId="0">SCHEDULED_PAYMENT+EXTRA_PAYMENT</definedName>
    <definedName name="mereni" localSheetId="1">SCHEDULED_PAYMENT+EXTRA_PAYMENT</definedName>
    <definedName name="mereni" localSheetId="3">SCHEDULED_PAYMENT+EXTRA_PAYMENT</definedName>
    <definedName name="mereni">SCHEDULED_PAYMENT+EXTRA_PAYMENT</definedName>
    <definedName name="MJ" localSheetId="0">#REF!</definedName>
    <definedName name="MJ" localSheetId="1">#REF!</definedName>
    <definedName name="MJ" localSheetId="3">#REF!</definedName>
    <definedName name="MJ">#REF!</definedName>
    <definedName name="Mont" localSheetId="0">#REF!</definedName>
    <definedName name="Mont" localSheetId="3">#REF!</definedName>
    <definedName name="Mont">#REF!</definedName>
    <definedName name="Montaz0" localSheetId="0">#REF!</definedName>
    <definedName name="Montaz0" localSheetId="1">#REF!</definedName>
    <definedName name="Montaz0" localSheetId="3">#REF!</definedName>
    <definedName name="Montaz0">#REF!</definedName>
    <definedName name="mts" localSheetId="1">#REF!</definedName>
    <definedName name="mts" localSheetId="3">#REF!</definedName>
    <definedName name="mts">#REF!</definedName>
    <definedName name="n" localSheetId="0">SCHEDULED_PAYMENT+EXTRA_PAYMENT</definedName>
    <definedName name="n" localSheetId="1">SCHEDULED_PAYMENT+EXTRA_PAYMENT</definedName>
    <definedName name="n" localSheetId="3">SCHEDULED_PAYMENT+EXTRA_PAYMENT</definedName>
    <definedName name="n">SCHEDULED_PAYMENT+EXTRA_PAYMENT</definedName>
    <definedName name="NazevDilu" localSheetId="0">#REF!</definedName>
    <definedName name="NazevDilu" localSheetId="1">#REF!</definedName>
    <definedName name="NazevDilu" localSheetId="3">#REF!</definedName>
    <definedName name="NazevDilu">#REF!</definedName>
    <definedName name="NazevObjektu" localSheetId="0">'KL'!$C$27</definedName>
    <definedName name="nazevobjektu" localSheetId="1">#REF!</definedName>
    <definedName name="nazevobjektu">'[7]Krycí list'!$C$5</definedName>
    <definedName name="NazevStavby" localSheetId="0">'KL'!$D$6</definedName>
    <definedName name="nazevstavby" localSheetId="1">#REF!</definedName>
    <definedName name="nazevstavby">'[7]Krycí list'!$C$7</definedName>
    <definedName name="Num_Pmt_Per_Year" localSheetId="1">#REF!</definedName>
    <definedName name="Num_Pmt_Per_Year" localSheetId="3">#REF!</definedName>
    <definedName name="Num_Pmt_Per_Year">#REF!</definedName>
    <definedName name="Number_of_Payments" localSheetId="0">MATCH(0.01,End_Bal,-1)+1</definedName>
    <definedName name="Number_of_Payments" localSheetId="1">MATCH(0.01,'VRN'!End_Bal,-1)+1</definedName>
    <definedName name="Number_of_Payments" localSheetId="3">MATCH(0.01,'Zpevněné plochy'!End_Bal,-1)+1</definedName>
    <definedName name="Number_of_Payments">MATCH(0.01,End_Bal,-1)+1</definedName>
    <definedName name="obch_sleva" localSheetId="3">#REF!</definedName>
    <definedName name="obch_sleva">#REF!</definedName>
    <definedName name="Objednatel" localSheetId="0">'KL'!$D$10</definedName>
    <definedName name="Objednatel" localSheetId="1">#REF!</definedName>
    <definedName name="Objednatel" localSheetId="3">#REF!</definedName>
    <definedName name="Objednatel">#REF!</definedName>
    <definedName name="Objekt" localSheetId="0">'KL'!$B$27</definedName>
    <definedName name="_xlnm.Print_Area" localSheetId="6">'EZS'!$A$1:$L$76</definedName>
    <definedName name="_xlnm.Print_Area" localSheetId="7">'Kanalizace'!$A$1:$J$40</definedName>
    <definedName name="_xlnm.Print_Area" localSheetId="0">'KL'!$A$1:$I$44</definedName>
    <definedName name="_xlnm.Print_Area" localSheetId="4">'Silnoproud'!$A$1:$G$245</definedName>
    <definedName name="_xlnm.Print_Area" localSheetId="5">'Slaboproud'!$A$1:$L$158</definedName>
    <definedName name="_xlnm.Print_Area" localSheetId="2">'Stavební  část'!$A$1:$H$774</definedName>
    <definedName name="_xlnm.Print_Area" localSheetId="1">'VRN'!$A$1:$G$26</definedName>
    <definedName name="_xlnm.Print_Area" localSheetId="8">'Vytápění'!$A$1:$J$58</definedName>
    <definedName name="_xlnm.Print_Area" localSheetId="9">'Vzduchotechnika'!$A$1:$J$50</definedName>
    <definedName name="_xlnm.Print_Area" localSheetId="3">'Zpevněné plochy'!$A$1:$H$120</definedName>
    <definedName name="_xlnm.Print_Area" localSheetId="10">'ZTI'!$A$1:$J$104</definedName>
    <definedName name="odic" localSheetId="0">'KL'!$J$11</definedName>
    <definedName name="oico" localSheetId="0">'KL'!$J$10</definedName>
    <definedName name="omisto" localSheetId="0">'KL'!#REF!</definedName>
    <definedName name="onazev" localSheetId="0">'KL'!$D$11</definedName>
    <definedName name="op" localSheetId="1">#REF!</definedName>
    <definedName name="op" localSheetId="3">#REF!</definedName>
    <definedName name="op">#REF!</definedName>
    <definedName name="opsc" localSheetId="0">'KL'!#REF!</definedName>
    <definedName name="Outside" localSheetId="0" hidden="1">{#N/A,#N/A,TRUE,"Krycí list"}</definedName>
    <definedName name="Outside" localSheetId="1" hidden="1">{#N/A,#N/A,TRUE,"Krycí list"}</definedName>
    <definedName name="Outside" hidden="1">{#N/A,#N/A,TRUE,"Krycí list"}</definedName>
    <definedName name="Pay_Date" localSheetId="3">#REF!</definedName>
    <definedName name="Pay_Date">#REF!</definedName>
    <definedName name="Pay_Num" localSheetId="3">#REF!</definedName>
    <definedName name="Pay_Num">#REF!</definedName>
    <definedName name="Payment_Date" localSheetId="0">DATE(YEAR(Loan_Start),MONTH(Loan_Start)+PAYMENT_NUMBER,DAY(Loan_Start))</definedName>
    <definedName name="Payment_Date" localSheetId="1">DATE(YEAR(Loan_Start),MONTH(Loan_Start)+PAYMENT_NUMBER,DAY(Loan_Start))</definedName>
    <definedName name="Payment_Date" localSheetId="3">DATE(YEAR('Zpevněné plochy'!Loan_Start),MONTH('Zpevněné plochy'!Loan_Start)+PAYMENT_NUMBER,DAY('Zpevněné plochy'!Loan_Start))</definedName>
    <definedName name="Payment_Date">DATE(YEAR(Loan_Start),MONTH(Loan_Start)+PAYMENT_NUMBER,DAY(Loan_Start))</definedName>
    <definedName name="PocetMJ" localSheetId="0">#REF!</definedName>
    <definedName name="PocetMJ" localSheetId="1">#REF!</definedName>
    <definedName name="PocetMJ" localSheetId="3">#REF!</definedName>
    <definedName name="PocetMJ">#REF!</definedName>
    <definedName name="pokusAAAA" localSheetId="1">#REF!</definedName>
    <definedName name="pokusAAAA" localSheetId="3">#REF!</definedName>
    <definedName name="pokusAAAA">#REF!</definedName>
    <definedName name="pokusadres" localSheetId="3">#REF!</definedName>
    <definedName name="pokusadres">#REF!</definedName>
    <definedName name="položka_A1" localSheetId="3">#REF!</definedName>
    <definedName name="položka_A1">#REF!</definedName>
    <definedName name="položky" localSheetId="3">#REF!</definedName>
    <definedName name="položky">#REF!</definedName>
    <definedName name="pom_výp_zač" localSheetId="3">#REF!</definedName>
    <definedName name="pom_výp_zač">#REF!</definedName>
    <definedName name="pom_výpočty" localSheetId="3">#REF!</definedName>
    <definedName name="pom_výpočty">#REF!</definedName>
    <definedName name="powersock" localSheetId="0" hidden="1">{#N/A,#N/A,TRUE,"Krycí list"}</definedName>
    <definedName name="powersock" localSheetId="1" hidden="1">{#N/A,#N/A,TRUE,"Krycí list"}</definedName>
    <definedName name="powersock" hidden="1">{#N/A,#N/A,TRUE,"Krycí list"}</definedName>
    <definedName name="PowerSocket" localSheetId="0" hidden="1">{#N/A,#N/A,TRUE,"Krycí list"}</definedName>
    <definedName name="PowerSocket" localSheetId="1" hidden="1">{#N/A,#N/A,TRUE,"Krycí list"}</definedName>
    <definedName name="PowerSocket" hidden="1">{#N/A,#N/A,TRUE,"Krycí list"}</definedName>
    <definedName name="Poznamka" localSheetId="0">#REF!</definedName>
    <definedName name="Poznamka" localSheetId="3">#REF!</definedName>
    <definedName name="Poznamka">#REF!</definedName>
    <definedName name="poznámka" localSheetId="3">#REF!</definedName>
    <definedName name="poznámka">#REF!</definedName>
    <definedName name="prep_schem" localSheetId="3">#REF!</definedName>
    <definedName name="prep_schem">#REF!</definedName>
    <definedName name="Princ" localSheetId="3">#REF!</definedName>
    <definedName name="Princ">#REF!</definedName>
    <definedName name="Print_Area_Reset" localSheetId="0">OFFSET(Full_Print,0,0,'KL'!Last_Row)</definedName>
    <definedName name="Print_Area_Reset" localSheetId="1">OFFSET(Full_Print,0,0,'VRN'!Last_Row)</definedName>
    <definedName name="Print_Area_Reset" localSheetId="3">OFFSET('Zpevněné plochy'!Full_Print,0,0,'Zpevněné plochy'!Last_Row)</definedName>
    <definedName name="Print_Area_Reset">OFFSET(Full_Print,0,0,Last_Row)</definedName>
    <definedName name="Projektant" localSheetId="0">#REF!</definedName>
    <definedName name="Projektant" localSheetId="3">#REF!</definedName>
    <definedName name="Projektant">#REF!</definedName>
    <definedName name="PSV" localSheetId="0">#REF!</definedName>
    <definedName name="PSV" localSheetId="3">#REF!</definedName>
    <definedName name="PSV">#REF!</definedName>
    <definedName name="PSV0" localSheetId="0">#REF!</definedName>
    <definedName name="PSV0" localSheetId="1">#REF!</definedName>
    <definedName name="PSV0" localSheetId="3">#REF!</definedName>
    <definedName name="PSV0">#REF!</definedName>
    <definedName name="QQ" localSheetId="0" hidden="1">{#N/A,#N/A,TRUE,"Krycí list"}</definedName>
    <definedName name="QQ" localSheetId="1" hidden="1">{#N/A,#N/A,TRUE,"Krycí list"}</definedName>
    <definedName name="QQ" hidden="1">{#N/A,#N/A,TRUE,"Krycí list"}</definedName>
    <definedName name="QQQ" localSheetId="0" hidden="1">{#N/A,#N/A,TRUE,"Krycí list"}</definedName>
    <definedName name="QQQ" localSheetId="1" hidden="1">{#N/A,#N/A,TRUE,"Krycí list"}</definedName>
    <definedName name="QQQ" hidden="1">{#N/A,#N/A,TRUE,"Krycí list"}</definedName>
    <definedName name="rekapitulace" localSheetId="3">#REF!</definedName>
    <definedName name="rekapitulace">#REF!</definedName>
    <definedName name="rozp" localSheetId="0" hidden="1">{#N/A,#N/A,TRUE,"Krycí list"}</definedName>
    <definedName name="rozp" localSheetId="1" hidden="1">{#N/A,#N/A,TRUE,"Krycí list"}</definedName>
    <definedName name="rozp" hidden="1">{#N/A,#N/A,TRUE,"Krycí list"}</definedName>
    <definedName name="rozvržení_rozp" localSheetId="3">#REF!</definedName>
    <definedName name="rozvržení_rozp">#REF!</definedName>
    <definedName name="saboproud" localSheetId="0" hidden="1">{#N/A,#N/A,TRUE,"Krycí list"}</definedName>
    <definedName name="saboproud" localSheetId="1" hidden="1">{#N/A,#N/A,TRUE,"Krycí list"}</definedName>
    <definedName name="saboproud" hidden="1">{#N/A,#N/A,TRUE,"Krycí list"}</definedName>
    <definedName name="SazbaDPH1" localSheetId="0">'KL'!$D$17</definedName>
    <definedName name="SazbaDPH1" localSheetId="1">#REF!</definedName>
    <definedName name="SazbaDPH1" localSheetId="3">#REF!</definedName>
    <definedName name="SazbaDPH1">#REF!</definedName>
    <definedName name="SazbaDPH2" localSheetId="0">'KL'!$D$19</definedName>
    <definedName name="SazbaDPH2" localSheetId="1">#REF!</definedName>
    <definedName name="SazbaDPH2" localSheetId="3">#REF!</definedName>
    <definedName name="SazbaDPH2">#REF!</definedName>
    <definedName name="Sched_Pay" localSheetId="1">#REF!</definedName>
    <definedName name="Sched_Pay" localSheetId="3">#REF!</definedName>
    <definedName name="Sched_Pay">#REF!</definedName>
    <definedName name="Scheduled_Extra_Payments" localSheetId="1">#REF!</definedName>
    <definedName name="Scheduled_Extra_Payments" localSheetId="3">#REF!</definedName>
    <definedName name="Scheduled_Extra_Payments">#REF!</definedName>
    <definedName name="Scheduled_Interest_Rate" localSheetId="3">#REF!</definedName>
    <definedName name="Scheduled_Interest_Rate">#REF!</definedName>
    <definedName name="Scheduled_Monthly_Payment" localSheetId="3">#REF!</definedName>
    <definedName name="Scheduled_Monthly_Payment">#REF!</definedName>
    <definedName name="SloupecCC" localSheetId="0">#REF!</definedName>
    <definedName name="SloupecCC" localSheetId="3">#REF!</definedName>
    <definedName name="SloupecCC">#REF!</definedName>
    <definedName name="SloupecCisloPol" localSheetId="0">#REF!</definedName>
    <definedName name="SloupecCisloPol" localSheetId="3">#REF!</definedName>
    <definedName name="SloupecCisloPol">#REF!</definedName>
    <definedName name="SloupecJC" localSheetId="0">#REF!</definedName>
    <definedName name="SloupecJC" localSheetId="3">#REF!</definedName>
    <definedName name="SloupecJC">#REF!</definedName>
    <definedName name="SloupecMJ" localSheetId="0">#REF!</definedName>
    <definedName name="SloupecMJ" localSheetId="3">#REF!</definedName>
    <definedName name="SloupecMJ">#REF!</definedName>
    <definedName name="SloupecMnozstvi" localSheetId="0">#REF!</definedName>
    <definedName name="SloupecMnozstvi" localSheetId="3">#REF!</definedName>
    <definedName name="SloupecMnozstvi">#REF!</definedName>
    <definedName name="SloupecNazPol" localSheetId="0">#REF!</definedName>
    <definedName name="SloupecNazPol" localSheetId="3">#REF!</definedName>
    <definedName name="SloupecNazPol">#REF!</definedName>
    <definedName name="SloupecPC" localSheetId="0">#REF!</definedName>
    <definedName name="SloupecPC" localSheetId="3">#REF!</definedName>
    <definedName name="SloupecPC">#REF!</definedName>
    <definedName name="SoucetDilu" localSheetId="0">'KL'!#REF!</definedName>
    <definedName name="soupis" localSheetId="0" hidden="1">{#N/A,#N/A,TRUE,"Krycí list"}</definedName>
    <definedName name="soupis" localSheetId="1" hidden="1">{#N/A,#N/A,TRUE,"Krycí list"}</definedName>
    <definedName name="soupis" hidden="1">{#N/A,#N/A,TRUE,"Krycí list"}</definedName>
    <definedName name="ssss" localSheetId="3">#REF!</definedName>
    <definedName name="ssss">#REF!</definedName>
    <definedName name="StavbaCelkem" localSheetId="0">'KL'!$H$39</definedName>
    <definedName name="subslevy" localSheetId="1">#REF!</definedName>
    <definedName name="subslevy" localSheetId="3">#REF!</definedName>
    <definedName name="subslevy">#REF!</definedName>
    <definedName name="sum_kapitoly" localSheetId="1">#REF!</definedName>
    <definedName name="sum_kapitoly" localSheetId="3">#REF!</definedName>
    <definedName name="sum_kapitoly">#REF!</definedName>
    <definedName name="summary" localSheetId="0" hidden="1">{#N/A,#N/A,TRUE,"Krycí list"}</definedName>
    <definedName name="summary" localSheetId="1" hidden="1">{#N/A,#N/A,TRUE,"Krycí list"}</definedName>
    <definedName name="summary" hidden="1">{#N/A,#N/A,TRUE,"Krycí list"}</definedName>
    <definedName name="sumpok" localSheetId="3">#REF!</definedName>
    <definedName name="sumpok">#REF!</definedName>
    <definedName name="Switchboard" localSheetId="0" hidden="1">{#N/A,#N/A,TRUE,"Krycí list"}</definedName>
    <definedName name="Switchboard" localSheetId="1" hidden="1">{#N/A,#N/A,TRUE,"Krycí list"}</definedName>
    <definedName name="Switchboard" hidden="1">{#N/A,#N/A,TRUE,"Krycí list"}</definedName>
    <definedName name="tab" localSheetId="3">#REF!</definedName>
    <definedName name="tab">#REF!</definedName>
    <definedName name="Total_Interest" localSheetId="3">#REF!</definedName>
    <definedName name="Total_Interest">#REF!</definedName>
    <definedName name="Total_Pay" localSheetId="3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 localSheetId="3">SCHEDULED_PAYMENT+EXTRA_PAYMENT</definedName>
    <definedName name="Total_Payment">SCHEDULED_PAYMENT+EXTRA_PAYMENT</definedName>
    <definedName name="Typ" localSheetId="0">#REF!</definedName>
    <definedName name="Typ" localSheetId="1">#REF!</definedName>
    <definedName name="Typ" localSheetId="3">#REF!</definedName>
    <definedName name="Typ">#REF!</definedName>
    <definedName name="v" localSheetId="1">#REF!</definedName>
    <definedName name="v" localSheetId="3">#REF!</definedName>
    <definedName name="v">#REF!</definedName>
    <definedName name="Values_Entered" localSheetId="0">IF(Loan_Amount*Interest_Rate*Loan_Years*Loan_Start&gt;0,1,0)</definedName>
    <definedName name="Values_Entered" localSheetId="1">IF(Loan_Amount*'VRN'!Interest_Rate*Loan_Years*Loan_Start&gt;0,1,0)</definedName>
    <definedName name="Values_Entered" localSheetId="3">IF('Zpevněné plochy'!Loan_Amount*'Zpevněné plochy'!Interest_Rate*'Zpevněné plochy'!Loan_Years*'Zpevněné plochy'!Loan_Start&gt;0,1,0)</definedName>
    <definedName name="Values_Entered">IF(Loan_Amount*Interest_Rate*Loan_Years*Loan_Start&gt;0,1,0)</definedName>
    <definedName name="VIZA" localSheetId="0" hidden="1">{#N/A,#N/A,TRUE,"Krycí list"}</definedName>
    <definedName name="VIZA" localSheetId="1" hidden="1">{#N/A,#N/A,TRUE,"Krycí list"}</definedName>
    <definedName name="VIZA" hidden="1">{#N/A,#N/A,TRUE,"Krycí list"}</definedName>
    <definedName name="VIZA12" localSheetId="0" hidden="1">{#N/A,#N/A,TRUE,"Krycí list"}</definedName>
    <definedName name="VIZA12" localSheetId="1" hidden="1">{#N/A,#N/A,TRUE,"Krycí list"}</definedName>
    <definedName name="VIZA12" hidden="1">{#N/A,#N/A,TRUE,"Krycí list"}</definedName>
    <definedName name="VRN" localSheetId="0">#REF!</definedName>
    <definedName name="VRN" localSheetId="3">#REF!</definedName>
    <definedName name="VRN">#REF!</definedName>
    <definedName name="VRNKc" localSheetId="0">#REF!</definedName>
    <definedName name="VRNKc" localSheetId="3">#REF!</definedName>
    <definedName name="VRNKc">#REF!</definedName>
    <definedName name="VRNnazev" localSheetId="0">#REF!</definedName>
    <definedName name="VRNnazev" localSheetId="3">#REF!</definedName>
    <definedName name="VRNnazev">#REF!</definedName>
    <definedName name="VRNproc" localSheetId="0">#REF!</definedName>
    <definedName name="VRNproc" localSheetId="3">#REF!</definedName>
    <definedName name="VRNproc">#REF!</definedName>
    <definedName name="VRNzakl" localSheetId="0">#REF!</definedName>
    <definedName name="VRNzakl" localSheetId="3">#REF!</definedName>
    <definedName name="VRNzakl">#REF!</definedName>
    <definedName name="výpočty" localSheetId="3">#REF!</definedName>
    <definedName name="výpočty">#REF!</definedName>
    <definedName name="vystup" localSheetId="3">#REF!</definedName>
    <definedName name="vystup">#REF!</definedName>
    <definedName name="vzduchna" localSheetId="0" hidden="1">{#N/A,#N/A,TRUE,"Krycí list"}</definedName>
    <definedName name="vzduchna" localSheetId="1" hidden="1">{#N/A,#N/A,TRUE,"Krycí list"}</definedName>
    <definedName name="vzduchna" hidden="1">{#N/A,#N/A,TRUE,"Krycí list"}</definedName>
    <definedName name="Weak" localSheetId="0" hidden="1">{#N/A,#N/A,TRUE,"Krycí list"}</definedName>
    <definedName name="Weak" localSheetId="1" hidden="1">{#N/A,#N/A,TRUE,"Krycí list"}</definedName>
    <definedName name="Weak" hidden="1">{#N/A,#N/A,TRUE,"Krycí list"}</definedName>
    <definedName name="wrn.Kontrolní._.rozpočet." localSheetId="0" hidden="1">{#N/A,#N/A,TRUE,"Krycí list"}</definedName>
    <definedName name="wrn.Kontrolní._.rozpočet." localSheetId="1" hidden="1">{#N/A,#N/A,TRUE,"Krycí list"}</definedName>
    <definedName name="wrn.Kontrolní._.rozpočet." hidden="1">{#N/A,#N/A,TRUE,"Krycí list"}</definedName>
    <definedName name="wrn.Kontrolní._.rozpoeet." localSheetId="0" hidden="1">{#N/A,#N/A,TRUE,"Krycí list"}</definedName>
    <definedName name="wrn.Kontrolní._.rozpoeet." localSheetId="1" hidden="1">{#N/A,#N/A,TRUE,"Krycí list"}</definedName>
    <definedName name="wrn.Kontrolní._.rozpoeet." hidden="1">{#N/A,#N/A,TRUE,"Krycí list"}</definedName>
    <definedName name="zahrnsazby" localSheetId="3">#REF!</definedName>
    <definedName name="zahrnsazby">#REF!</definedName>
    <definedName name="zahrnslevy" localSheetId="3">#REF!</definedName>
    <definedName name="zahrnslevy">#REF!</definedName>
    <definedName name="Zakazka" localSheetId="0">#REF!</definedName>
    <definedName name="Zakazka" localSheetId="3">#REF!</definedName>
    <definedName name="Zakazka">#REF!</definedName>
    <definedName name="Zaklad22" localSheetId="0">#REF!</definedName>
    <definedName name="Zaklad22" localSheetId="3">#REF!</definedName>
    <definedName name="Zaklad22">#REF!</definedName>
    <definedName name="Zaklad5" localSheetId="0">#REF!</definedName>
    <definedName name="Zaklad5" localSheetId="3">#REF!</definedName>
    <definedName name="Zaklad5">#REF!</definedName>
    <definedName name="Zhotovitel" localSheetId="0">'KL'!$D$8</definedName>
    <definedName name="Zhotovitel" localSheetId="1">#REF!</definedName>
    <definedName name="Zhotovitel" localSheetId="3">#REF!</definedName>
    <definedName name="Zhotovitel">#REF!</definedName>
  </definedNames>
  <calcPr calcId="152511"/>
</workbook>
</file>

<file path=xl/sharedStrings.xml><?xml version="1.0" encoding="utf-8"?>
<sst xmlns="http://schemas.openxmlformats.org/spreadsheetml/2006/main" count="3547" uniqueCount="1818">
  <si>
    <t>P.Č.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</si>
  <si>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</si>
  <si>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</si>
  <si>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</si>
  <si>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</si>
  <si>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</si>
  <si>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</si>
  <si>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</si>
  <si>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</si>
  <si>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</si>
  <si>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</si>
  <si>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</si>
  <si>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</si>
  <si>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</si>
  <si>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</si>
  <si>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</si>
  <si>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>Práce a dodávky HSV</t>
  </si>
  <si>
    <t>m3</t>
  </si>
  <si>
    <t>m2</t>
  </si>
  <si>
    <t>PSV</t>
  </si>
  <si>
    <t>Práce a dodávky PSV</t>
  </si>
  <si>
    <t>%</t>
  </si>
  <si>
    <t>Celkem</t>
  </si>
  <si>
    <t>CELKEM</t>
  </si>
  <si>
    <t>Poznámka:</t>
  </si>
  <si>
    <t>Jednotkové položky zahrnují vedlejší rozpočtové náklady, náklady na montáž, dopravu, apod. a předepsané zkoušky, revize, manipulační řády, zaškolení obsluhy, není-li uvedeno jinak.</t>
  </si>
  <si>
    <t>kus</t>
  </si>
  <si>
    <t>Celkem za</t>
  </si>
  <si>
    <t>Stavba :</t>
  </si>
  <si>
    <t xml:space="preserve">Investor : </t>
  </si>
  <si>
    <t xml:space="preserve">Zhotovitel : </t>
  </si>
  <si>
    <t>Za zhotovitele :</t>
  </si>
  <si>
    <t>Za investora :</t>
  </si>
  <si>
    <t>_______________</t>
  </si>
  <si>
    <t>Rozpočtové náklady</t>
  </si>
  <si>
    <t>Základ pro DPH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</si>
  <si>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</si>
  <si>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</si>
  <si>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</si>
  <si>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</si>
  <si>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DPH celkem</t>
  </si>
  <si>
    <t>Vedlejší rozpočtové a ostatní náklady</t>
  </si>
  <si>
    <t>Celkem za stavbu</t>
  </si>
  <si>
    <t>Vedlejší rozpočtové náklady, náklady na provoz a zařízení staveniště, apod. a přesuny hmot u PSV jsou zahrnuty v jednotkových cenách jednotlivých položek - není-li uvedeno jinak.</t>
  </si>
  <si>
    <t>Zhotovitel je povinen provést na svůj náklad a své nebezpečí veškeré práce a dodávky, které jsou v projektové dokumentaci obsaženy, bez ohledu na to, zda jsou  obsaženy v textové a nebo ve výkresové části, jakož i práce, které v dokumentaci sice obsaženy nejsou, ale které jsou nezbytné pro provedení díla a jeho řádné fungování. Je v zájmu zhotovitele jako odborné firmy se řádně seznámit s projektovou dokumentací a pečlivě ji překontroloval a uvažovat s tím, že investor nebude brát zřetel na požadavky a námitky zhotovitele vyplývající z vad, nedostatečného či chybného popisu díla v projektové dokumentaci.</t>
  </si>
  <si>
    <t>Zaškolení obsluhy a investorem pověřených osob, vypracování a odsouhlasení provozních a manipulačních řádů, proškolení provozovatele s provozováním a užíváním realizovaného díla dle SoD a jiných podmínek</t>
  </si>
  <si>
    <t>komplet</t>
  </si>
  <si>
    <t>Stavební práce a dodávky spojené s provedením funkčního celku HSV</t>
  </si>
  <si>
    <t>Např. dle §8, §9, §10 apod. vyhlášky č.230/2012 Sb., rozpočtových standardů apod.</t>
  </si>
  <si>
    <t>Zajištění a projednání všech nezbytných administrativních úkonů spojených s realizací stavby</t>
  </si>
  <si>
    <t>Náklady D+M informační tabule, billboard dle SoD</t>
  </si>
  <si>
    <t>Zajištění kompletační a koordinační činnosti spojených s realizací stavby a následným dáním do užívání</t>
  </si>
  <si>
    <t>Vytýčení inženýrských sítí  - vč. případných kopaných sond, vč.  projednání se správci, apod.</t>
  </si>
  <si>
    <t>Bezpečnostní hrazení, oplocení, zajištění přístupu na staveniště apod.. Zajištění ostraha majetku osob v průběhu realizace stavby a až do předání stavby do užívání. Zabezpečení staveniště, vnější stavby a ploch dotčených stavbou, vybavení proti odcizení a škodám</t>
  </si>
  <si>
    <t>Vytýčení prostorové polohy dopravní a technické infrastruktury</t>
  </si>
  <si>
    <t>Jednání s dotčenými institucemi, s dotčenými orgány státní správy a samosprávy - například zajištění dokladů nutných k získání kolaudačního souhlasu, povolení a rozhodnutí nutných k realizaci stavby apod.</t>
  </si>
  <si>
    <t>Zajištění průzkumů, zkoušek, atestů, sond a revizí apod. uvedených v rozhodnutích a v projektové dokumetnaci nezbytně nutných k provedení díla. Provedení veškerých měření a zkoušek, revizních zpráv apod. dle platné legislativy a dle SoD</t>
  </si>
  <si>
    <t>Technická řešení kolizí se skrytými konstrukcemi, které nemohl projektant předvídat (kolize s podzemními sítěmi a konstrukcemi, apod.)</t>
  </si>
  <si>
    <t>Technická řešení rozdílů skutečně zjištěného stavu se stavem předpokládaného projektantem apod.</t>
  </si>
  <si>
    <t>Dopravní opatření - dopravní a informační značení na komunikacích pro motorová a nemotorová vozidla a pro pěší, zajištění průchodů apod., projednání s příslušným odborem dopravy, zajištění údržby, čištění apod. dopravního značení a komunikací apod.</t>
  </si>
  <si>
    <t>Vypracování dokumentace skutečného provedení stavby  dle SoD, platné legislativy, podmínek a požadavků investora a uživatele zajištění požadovaných dokladů a vyjádření DOSS</t>
  </si>
  <si>
    <t>Ostatní práce a dodávky</t>
  </si>
  <si>
    <t>Kontrukce zámečnické</t>
  </si>
  <si>
    <t>99801R</t>
  </si>
  <si>
    <t xml:space="preserve">" - Výpomoce, doplňkové práce a dodávky,kompletace, zapravení vzniklých poškození, práce neuvedené, apod. " </t>
  </si>
  <si>
    <t>Konstrukce truhlářské</t>
  </si>
  <si>
    <t>76699901R</t>
  </si>
  <si>
    <t>76699902R</t>
  </si>
  <si>
    <t>76699903R</t>
  </si>
  <si>
    <t>76699904R</t>
  </si>
  <si>
    <t>76699906R</t>
  </si>
  <si>
    <t>76699907R</t>
  </si>
  <si>
    <t>76699908R</t>
  </si>
  <si>
    <t>76699909R</t>
  </si>
  <si>
    <t>m</t>
  </si>
  <si>
    <t>Konstrukce klempířské</t>
  </si>
  <si>
    <t>79099901R</t>
  </si>
  <si>
    <t>790</t>
  </si>
  <si>
    <t>Izolace tepelné</t>
  </si>
  <si>
    <t>71399901R</t>
  </si>
  <si>
    <t>" Skladba: "</t>
  </si>
  <si>
    <t xml:space="preserve">" Zednická výpomoc, doplňkové práce, kompletace, zřízení prostupů, zapravení prostupů, apod." </t>
  </si>
  <si>
    <t>999713R</t>
  </si>
  <si>
    <t>Stavební práce a dodávky spojené s provedením funkčního celku 713</t>
  </si>
  <si>
    <t>999764R</t>
  </si>
  <si>
    <t>Stavební práce a dodávky spojené s provedením funkčního celku 764</t>
  </si>
  <si>
    <t>999766R</t>
  </si>
  <si>
    <t>Stavební práce a dodávky spojené s provedením funkčního celku 766</t>
  </si>
  <si>
    <t>999767R</t>
  </si>
  <si>
    <t>Stavební práce a dodávky spojené s provedením funkčního celku 767</t>
  </si>
  <si>
    <t>76699905R</t>
  </si>
  <si>
    <t>Část:   Vedlejší a rozpočtové náklady</t>
  </si>
  <si>
    <t>Část:   Stavební rozpočet</t>
  </si>
  <si>
    <t xml:space="preserve"> </t>
  </si>
  <si>
    <t>Stavební rozpočet</t>
  </si>
  <si>
    <t>76499901R</t>
  </si>
  <si>
    <t>" Včetně veškerých systémových a kotvících prvků a veškerého příslušenství "</t>
  </si>
  <si>
    <t>76499902R</t>
  </si>
  <si>
    <t>76499903R</t>
  </si>
  <si>
    <t>76499904R</t>
  </si>
  <si>
    <t>76499905R</t>
  </si>
  <si>
    <t>76499906R</t>
  </si>
  <si>
    <t>76499907R</t>
  </si>
  <si>
    <t>76499908R</t>
  </si>
  <si>
    <t>76499909R</t>
  </si>
  <si>
    <t>76799901R</t>
  </si>
  <si>
    <t>71399902R</t>
  </si>
  <si>
    <t>76799902R</t>
  </si>
  <si>
    <t>76799903R</t>
  </si>
  <si>
    <t>Vzduchotechnika</t>
  </si>
  <si>
    <t>Zdravotně technické instalace</t>
  </si>
  <si>
    <t>Zemní práce</t>
  </si>
  <si>
    <t>Svislé přemístění výkopku z horniny třídy těžitelnosti I skupiny 1 až 3 hl výkopu přes 4 do 8 m</t>
  </si>
  <si>
    <t>" Svislé přemístění výkopku "</t>
  </si>
  <si>
    <t>131</t>
  </si>
  <si>
    <t>Vodorovné přemístění výkopku z horniny třídy těžitelnosti I skupiny 1 až 3 stavebním kolečkem do 10 m</t>
  </si>
  <si>
    <t>" Vodorovné přemístění výkopku po staveništi "</t>
  </si>
  <si>
    <t>Uložení sypaniny na skládky nebo meziskládky</t>
  </si>
  <si>
    <t>" Uložení sypaniny na meziskládku s úpravou do předepsaného tvaru "</t>
  </si>
  <si>
    <t>Zásyp jam, šachet rýh nebo kolem objektů sypaninou se zhutněním</t>
  </si>
  <si>
    <t>Svislé konstrukce</t>
  </si>
  <si>
    <t>Komunikace</t>
  </si>
  <si>
    <t>Konstrukce tesařské</t>
  </si>
  <si>
    <t>Úpravy povrchů</t>
  </si>
  <si>
    <t>Provedení izolace proti zemní vlhkosti vodorovné za studena nátěrem penetračním</t>
  </si>
  <si>
    <t>Izolace proti vlhkosti</t>
  </si>
  <si>
    <t>emulze asfaltová penetrační</t>
  </si>
  <si>
    <t>l</t>
  </si>
  <si>
    <t>Provedení izolace proti zemní vlhkosti pásy přitavením vodorovné NAIP</t>
  </si>
  <si>
    <t>Výztuž mazanin svařovanými sítěmi Kari</t>
  </si>
  <si>
    <t>t</t>
  </si>
  <si>
    <t>Nátěr penetrační na podlahu</t>
  </si>
  <si>
    <t>Podlahy z dlaždic</t>
  </si>
  <si>
    <t>" Penetrace před provedením dlažby "</t>
  </si>
  <si>
    <t>Izolace pod dlažbu nátěrem nebo stěrkou ve dvou vrstvách</t>
  </si>
  <si>
    <t>Montáž podlah keramických velkoformátových hladkých lepených flexibilním lepidlem přes 4 do 6 ks/m2</t>
  </si>
  <si>
    <t>Osazování ocelových válcovaných nosníků na zdivu I, IE, U, UE nebo L do č. 12 nebo výšky do 120 mm</t>
  </si>
  <si>
    <t>Provedení izolace proti zemní vlhkosti svislé za studena nátěrem penetračním</t>
  </si>
  <si>
    <t>Provedení izolace proti zemní vlhkosti pásy přitavením svislé NAIP</t>
  </si>
  <si>
    <t>Bourání zdiva z cihel pálených nebo vápenopískových na MC přes 1 m3</t>
  </si>
  <si>
    <t>Konstrukce suché výstavby</t>
  </si>
  <si>
    <t>Odsekání a odebrání obkladů stěn plochy přes 1 m2</t>
  </si>
  <si>
    <t>Příčka z pórobetonových hladkých tvárnic na tenkovrstvou maltu tl 100 mm</t>
  </si>
  <si>
    <t>342</t>
  </si>
  <si>
    <t>130</t>
  </si>
  <si>
    <t>Nátěr penetrační na stěnu</t>
  </si>
  <si>
    <t>Obklady keramické</t>
  </si>
  <si>
    <t>Izolace pod obklad nátěrem nebo stěrkou ve dvou vrstvách</t>
  </si>
  <si>
    <t>" Provedení HI stěrky před provedením povrchu z dlaždic "</t>
  </si>
  <si>
    <t>Montáž obkladů vnitřních keramických velkoformátových hladkých přes 4 do 6 ks/m2 lepených flexibilním lepidlem</t>
  </si>
  <si>
    <t>Potažení vnitřních stěn sklovláknitým pletivem vtlačeným do tenkovrstvé hmoty</t>
  </si>
  <si>
    <t>Impregnace řeziva proti dřevokaznému hmyzu a houbám máčením třída ohrožení 1 a 2</t>
  </si>
  <si>
    <t>hranol stavební řezivo průřezu do 120cm2</t>
  </si>
  <si>
    <t>Montáž ochranné sítě z textilie z umělých vláken</t>
  </si>
  <si>
    <t>" Montáž ochranné sítě  zavěšené na konstrukci lešení z textilie z umělých vláken "</t>
  </si>
  <si>
    <t>Demontáž ochranné sítě z textílie z umělých vláken</t>
  </si>
  <si>
    <t>Příplatek k ochranné síti za první a ZKD den použití</t>
  </si>
  <si>
    <t>Montáž záchytné stříšky š do 2 m</t>
  </si>
  <si>
    <t>" Montáž záchytné stříšky  zřizované současně s lehkým nebo těžkým lešením, šířky přes 1,5 do 2,0 m "</t>
  </si>
  <si>
    <t>Demontáž záchytné stříšky š přes 2,5 m</t>
  </si>
  <si>
    <t>Příplatek k záchytné stříšce š do 2 m za první a ZKD den použití</t>
  </si>
  <si>
    <t>" Předpokládaná doba užití lešení 60 dní " 60*10</t>
  </si>
  <si>
    <t>Vyčištění budov bytové a občanské výstavby při výšce podlaží do 4 m</t>
  </si>
  <si>
    <t>Malby</t>
  </si>
  <si>
    <t>Základní akrylátová jednonásobná bezbarvá penetrace podkladu v místnostech v do 3,80 m</t>
  </si>
  <si>
    <t>" Penetrace před provedením malby "</t>
  </si>
  <si>
    <t>Dvojnásobné bílé malby ze směsí za mokra výborně oděruvzdorných v místnostech v do 3,80 m</t>
  </si>
  <si>
    <t>" Malby vnitřních omítaných povrchů "</t>
  </si>
  <si>
    <t>" Impregnace řeziva použitého k novému krovu a tesařským konstrukcím "</t>
  </si>
  <si>
    <t>Příplatek k odvozu suti a vybouraných hmot na skládku ZKD 1 km přes 1 km</t>
  </si>
  <si>
    <t>997013603R</t>
  </si>
  <si>
    <t>Poplatek za uložení vybouraných hmot na skládce a likvidace</t>
  </si>
  <si>
    <t>999711R</t>
  </si>
  <si>
    <t>Stavební práce a dodávky spojené s provedením funkčního celku 711</t>
  </si>
  <si>
    <t>999762R</t>
  </si>
  <si>
    <t>Stavební práce a dodávky spojené s provedením funkčního celku 762</t>
  </si>
  <si>
    <t>999763R</t>
  </si>
  <si>
    <t>Stavební práce a dodávky spojené s provedením funkčního celku 763</t>
  </si>
  <si>
    <t>999771R</t>
  </si>
  <si>
    <t>Stavební práce a dodávky spojené s provedením funkčního celku 771</t>
  </si>
  <si>
    <t>999781R</t>
  </si>
  <si>
    <t>Stavební práce a dodávky spojené s provedením funkčního celku 781</t>
  </si>
  <si>
    <t>10</t>
  </si>
  <si>
    <t>17</t>
  </si>
  <si>
    <t>18</t>
  </si>
  <si>
    <t>30</t>
  </si>
  <si>
    <t>Statutární město Opava, Horní Náměstí 382/69, 746 26 Opava, Město</t>
  </si>
  <si>
    <t>Architektonická kancelář Ing. arch. Jaroslav Chvátal, Hlavní 316/149, 746 06 Opava</t>
  </si>
  <si>
    <t>Investor:   Statutární město Opava, Horní Náměstí 382/69, 746 26 Opava, Město</t>
  </si>
  <si>
    <t>" Systémová k foliím PVC-P "</t>
  </si>
  <si>
    <t>" Systémové k foliím PVC-P "</t>
  </si>
  <si>
    <t>Stínění a čalounické úpravy</t>
  </si>
  <si>
    <t>78699901R</t>
  </si>
  <si>
    <t>Venkovní horizontální žaluzie - lamely š 70mm 3600x2100mm - Specifikace dle PD - S1</t>
  </si>
  <si>
    <t>78699902R</t>
  </si>
  <si>
    <t>78699903R</t>
  </si>
  <si>
    <t>78699904R</t>
  </si>
  <si>
    <t>999786R</t>
  </si>
  <si>
    <t>Stavební práce a dodávky spojené s provedením funkčního celku 786</t>
  </si>
  <si>
    <t>Demontáž mříží pevných nebo otevíravých</t>
  </si>
  <si>
    <t>" Včetně kotvících prvků, systémových prvků, veškerého příslušenství a příslušenství dle PD "</t>
  </si>
  <si>
    <t>79099902R</t>
  </si>
  <si>
    <t>79099903R</t>
  </si>
  <si>
    <t>79099904R</t>
  </si>
  <si>
    <t>79099905R</t>
  </si>
  <si>
    <t>79099906R</t>
  </si>
  <si>
    <t>79099907R</t>
  </si>
  <si>
    <t>" Průběžný dilatační pryžový profil se sklotextilní síťovinou + 2x rohová omítková nerez lišta "</t>
  </si>
  <si>
    <t>" Průběžný dilatační pryžový profil nerezová lišta s napojením na podlahovinu "</t>
  </si>
  <si>
    <t>79099908R</t>
  </si>
  <si>
    <t>" Průběžný dilatační profil se sklotextilní síťovinou "</t>
  </si>
  <si>
    <t>79099909R</t>
  </si>
  <si>
    <t>" Osazen zápustný rám z nerezové oceli, vložena rohož - hliníkové profily s textilní násadou a kartáčovaným meziprvkem ve výšce 22mm, provedení v kombinaci gumová, textilní a kartáčová násada "</t>
  </si>
  <si>
    <t>79099910R</t>
  </si>
  <si>
    <t>79099911R</t>
  </si>
  <si>
    <t>79099912R</t>
  </si>
  <si>
    <t>79099913R</t>
  </si>
  <si>
    <t>79099914R</t>
  </si>
  <si>
    <t>76699910R</t>
  </si>
  <si>
    <t>76699911R</t>
  </si>
  <si>
    <t>76699912R</t>
  </si>
  <si>
    <t>76699921R</t>
  </si>
  <si>
    <t>" Okno otevíravé a vyklápěcí, šesti-komorový profil z PVC vyztužený ocelovou výztuhou, rám doplněn o podkladní profil v 30mm pro osazení parapetů, zasklení trojsklo 4-12-4-12-4, plněno argonem, kování celoobvodové s mikroventilací, ovládací prvky plastové "</t>
  </si>
  <si>
    <t>" Včetně veškerých systémových a kotvících prvků, ukončovacích a napojovacích prvků, parotěsného napojení a zatěsnění a veškerého příslušenství "</t>
  </si>
  <si>
    <t>76699922R</t>
  </si>
  <si>
    <t>76699923R</t>
  </si>
  <si>
    <t>76699924R</t>
  </si>
  <si>
    <t>76699925R</t>
  </si>
  <si>
    <t>76699926R</t>
  </si>
  <si>
    <t>76699927R</t>
  </si>
  <si>
    <t>76699931R</t>
  </si>
  <si>
    <t>76699932R</t>
  </si>
  <si>
    <t>76699933R</t>
  </si>
  <si>
    <t>76699934R</t>
  </si>
  <si>
    <t>76699935R</t>
  </si>
  <si>
    <t>76699936R</t>
  </si>
  <si>
    <t>76699937R</t>
  </si>
  <si>
    <t>Demontáž podlah z dlaždic keramických kladených do malty</t>
  </si>
  <si>
    <t>Demontáž lepených povlakových podlah s podložkou ručně</t>
  </si>
  <si>
    <t>Podlahy povlakové</t>
  </si>
  <si>
    <t>Bourání podkladů pod dlažby betonových s potěrem nebo teracem tl do 100 mm pl přes 4 m2</t>
  </si>
  <si>
    <t>Odstranění izolace proti zemní vlhkosti vodorovné</t>
  </si>
  <si>
    <t>Bourání základů ze ŽB</t>
  </si>
  <si>
    <t>Hloubení zapažených jam v soudržných horninách třídy těžitelnosti I skupiny 3 ručně</t>
  </si>
  <si>
    <t>Bourání zdiva nadzákladového ze ŽB přes 1 m3</t>
  </si>
  <si>
    <t>Demontáž sádrovláknitého podhledu s nosnou konstrukcí z ocelových profilů opláštění dvojité</t>
  </si>
  <si>
    <t>Demontáž oplechování horních ploch zdí a nadezdívek do suti</t>
  </si>
  <si>
    <t>Odstranění povlakové krytiny střech do 10° z pásů NAIP přitavených v plné ploše dvouvrstvé</t>
  </si>
  <si>
    <t>Povlakové krytiny</t>
  </si>
  <si>
    <t>Odstranění tepelné izolace stropů volně kladené z vláknitých materiálů suchých tl do 100 mm</t>
  </si>
  <si>
    <t>Demontáž záklopů stropů z desek tvrdých</t>
  </si>
  <si>
    <t>Odstranění násypů pod podlahami nebo ochranného násypu na střechách tl do 200 mm pl přes 2 m2</t>
  </si>
  <si>
    <t>751377812R</t>
  </si>
  <si>
    <t xml:space="preserve">Demontáž odvětracích komínů ve stř plášti </t>
  </si>
  <si>
    <t xml:space="preserve">" Demontáž stávajíích odvětracích komínů " </t>
  </si>
  <si>
    <t xml:space="preserve">" Demontáž odvětracích kruhových mřížek ve stř plášti " </t>
  </si>
  <si>
    <t>Vybourání meziokenní vložky</t>
  </si>
  <si>
    <t>Vybourání kovových dveřních zárubní pl do 2 m2 vč vyvěšení křídel</t>
  </si>
  <si>
    <t>Vybourání dřevěných rámů oken zdvojených včetně křídel pl přes 4 m2 vč vyvěšení křídel</t>
  </si>
  <si>
    <t>Vybourání kovových rámů oken zdvojených včetně křídel pl přes 4 m2 vč vyvěšení křídel</t>
  </si>
  <si>
    <t>Bourání příček z cihel pálených na MVC tl do 100 mm</t>
  </si>
  <si>
    <t>Frézování živičného krytu tl 50 mm pruh š přes 0,5 do 1 m pl do 500 m2 bez překážek v trase</t>
  </si>
  <si>
    <t>Bourání sloupků a vzpěr plotových ocelových do 2,5 m zabetonovaných</t>
  </si>
  <si>
    <t xml:space="preserve">" Bourání stávajících plotových sloupků vč betonových patek " </t>
  </si>
  <si>
    <t>Demontáž zábradlí rovného nerozebíratelného hmotnosti 1 m zábradlí přes 20 kg do suti</t>
  </si>
  <si>
    <t>Hloubení jam zapažených v hornině třídy těžitelnosti I skupiny 3 strojně</t>
  </si>
  <si>
    <t>Základy</t>
  </si>
  <si>
    <t>Základové desky ze ŽB bez zvýšených nároků na prostředí tř. C 20/25</t>
  </si>
  <si>
    <t>Zřízení bednění základových desek</t>
  </si>
  <si>
    <t>Odstranění bednění základových desek</t>
  </si>
  <si>
    <t>Výztuž základových desek svařovanými sítěmi Kari</t>
  </si>
  <si>
    <t>273</t>
  </si>
  <si>
    <t>274</t>
  </si>
  <si>
    <t>Zřízení bednění základových pasů rovného</t>
  </si>
  <si>
    <t>Odstranění bednění základových pasů rovného</t>
  </si>
  <si>
    <t>Základové pásy z betonu tř. C 20/25</t>
  </si>
  <si>
    <t>311</t>
  </si>
  <si>
    <t>Příčka z pórobetonových hladkých tvárnic na tenkovrstvou maltu tl 150 mm</t>
  </si>
  <si>
    <t>úhelník ocelový rovnostranný jakost S235JR (11 375) 50x50x5mm + pásovina 50/5mm</t>
  </si>
  <si>
    <t>Montáž SDK kazetového podhledu z kazet 600x600 mm na zavěšenou polozapuštěnou nosnou konstrukci</t>
  </si>
  <si>
    <t>Akustická a protiotřesová opatření</t>
  </si>
  <si>
    <t xml:space="preserve">podhled kazetový demontovatelný bílý pískový bez děrování hrana rovná tl 8mm 600x600mm, vč veškerých systémových prvků a příslušenství </t>
  </si>
  <si>
    <t>pás asfaltový natavitelný modifikovaný SBS tl 4,0mm s vložkou ze skleněné tkaniny a spalitelnou PE fólií nebo jemnozrnným minerálním posypem na horním povrchu</t>
  </si>
  <si>
    <t>Mazanina tl přes 50 do 80 mm z betonu lehkého keramického LC 12/13</t>
  </si>
  <si>
    <t>635211311R</t>
  </si>
  <si>
    <t>Tepelněizolační násyp z Liaporu</t>
  </si>
  <si>
    <t>Provedení údržby povlakové krytiny do 10° za horka nátěrem asfaltovým</t>
  </si>
  <si>
    <t xml:space="preserve">" Vyspravení stávající živičné krytiny " </t>
  </si>
  <si>
    <t>Provedení rekonstrukce střech přitavením asfaltového pásu s přikotvením přes sypkou vrstvu</t>
  </si>
  <si>
    <t>Montáž izolace tepelné střech plochých lepené asfaltem plně 1 vrstva rohoží, pásů, dílců, desek</t>
  </si>
  <si>
    <t>deska EPS 150 pro konstrukce s vysokým zatížením λ=0,035 tl 180mm</t>
  </si>
  <si>
    <t>69311319R</t>
  </si>
  <si>
    <t>textilie netkaná HPPE 500g/m2</t>
  </si>
  <si>
    <t>Provedení separační nebo kluzné vrstvy z fólií vegetační střechy sklon do 5°</t>
  </si>
  <si>
    <t>fólie hydroizolační střešní mPVC určená ke stabilizaci přitížením a do vegetačních střech tl 1,8mm</t>
  </si>
  <si>
    <t>Kladení dlažby z betonových dlaždic 50x50 cm na sucho</t>
  </si>
  <si>
    <t>dlažba desková betonová 500x500x50mm přírodní</t>
  </si>
  <si>
    <t>deska XPS hrana polodrážková a hladký povrch 300kPA tl 40mm</t>
  </si>
  <si>
    <t>deska XPS hrana polodrážková a hladký povrch 300kPA tl 100mm</t>
  </si>
  <si>
    <t>pás asfaltový natavitelný modifikovaný SBS tl 3,5mm s vložkou z hliníkové fólie, hliníkové fólie s textilií a spalitelnou PE fólií nebo jemnozrnným minerálním posypem na horním povrchu</t>
  </si>
  <si>
    <t>69311317R</t>
  </si>
  <si>
    <t>textilie netkaná HPPE 300g/m2</t>
  </si>
  <si>
    <t>71399903R</t>
  </si>
  <si>
    <t>" - povrchová úprava samočistící tenkovrstvá omítka, pastovitá s fotokatalytickým efektem, minerální, vysoce paropropustná, zrnitost 1,5mm</t>
  </si>
  <si>
    <t>" - vysoce jakostní základní nátěr pro vyrovnání nasákavosti podkladu a zajištění přilnavosti omítek "</t>
  </si>
  <si>
    <t>" - vysoce paropropustná lepící a stěrkovací hmota na bázi cementu určená k lepení a stěrkování fasádních desek "</t>
  </si>
  <si>
    <t>" - sklotextilní síťovina, oka 4x4mm, kladena s přesahem min 100mm "</t>
  </si>
  <si>
    <t>" - izolant difuzně otevřené fasádní desky z expandovaného polystyrenu s vylepšenými tepelně izolačními a difuzními vlastnostmi a světle modrou reflexní povrchovou úpravou tl 200mm "</t>
  </si>
  <si>
    <t>" - kruhová plastová kotva osazená přímo na nosný podklad, opatřená lepidlem "</t>
  </si>
  <si>
    <t>Kontaktní zateplovací systém - expandovaný polystyren tl 200mm λ=0,031 - Specifikace dle PD - OS1</t>
  </si>
  <si>
    <t>Kontaktní zateplovací systém - sokl nad terénem XPS tl. 160mm λ=0,036 - Specifikace dle PD - OS2</t>
  </si>
  <si>
    <t>Kontaktní zateplovací systém - sokl pod terénem XPS tl. 160mm λ=0,036 - Specifikace dle PD - OS3</t>
  </si>
  <si>
    <t>Cementová omítka hladká jednovrstvá vnějších stěn nanášená ručně tl 15mm</t>
  </si>
  <si>
    <t>" - dekorační omítka na bázi křemičitých zrnek CERAMITZ s použitím stříkací pistole s vrchním otevřeným zásobníkem, průměr trysky 6/8mm a tlakem 2,5 atm, síla omítky min 1,5mm "</t>
  </si>
  <si>
    <t>" - nátěr s obsahem křemíku vhodný pro vnější plochy zředěný 1:1 s vodou v odstínu podobném finální omítce "</t>
  </si>
  <si>
    <t>" - penetrační nátěr na savé plochy "</t>
  </si>
  <si>
    <t xml:space="preserve">" - vysoce přídržná lepící a stěrkovací hmota na bázi cementu určená k lepení fasádních desek " </t>
  </si>
  <si>
    <t>" - vysoce odolná sklotextilní síťovina, oka 4x4mm, kladena s přesahem min 100mm "</t>
  </si>
  <si>
    <t>" - extrudovaný polystyren se struktrovaným povrchem tl 160mm "</t>
  </si>
  <si>
    <t>" - dvousložkové živičné lepidlo bezrozpouštědlové "</t>
  </si>
  <si>
    <t>" - cementem pojená těsnící malta pro plošné utěsnění vlhkých konstrukcí ve dvou vrstvách - tl vrstvy min 2mm, celková tl 5-6mm "</t>
  </si>
  <si>
    <t>Penetrační nátěr vnějších stěn nanášený ručně</t>
  </si>
  <si>
    <t>" - separační netkaná textilie 300g/m2 "</t>
  </si>
  <si>
    <t>" - nopová folie tl 8mm obrácená hladkou stranou k XPS "</t>
  </si>
  <si>
    <t>Penetrační disperzní nátěr vnitřních stěn nanášený ručně</t>
  </si>
  <si>
    <t>Vápenná omítka štuková dvouvrstvá vnitřních stěn nanášená ručně</t>
  </si>
  <si>
    <t>Příplatek k vápenné omítce vnitřních stěn za každých dalších 5 mm tloušťky ručně</t>
  </si>
  <si>
    <t>" Malby SDK podhledů "</t>
  </si>
  <si>
    <t>obklad velkoformátový bělninový hladký přes 4 do 6ks/m2</t>
  </si>
  <si>
    <t>Potěr cementový samonivelační litý C25 tl přes 45 do 50 mm</t>
  </si>
  <si>
    <t>Příplatek k cementovému samonivelačnímu litému potěru C25 ZKD 5 mm tl přes 50 mm</t>
  </si>
  <si>
    <t>Izolace podlah fólií celoplošně lepená proti kročejovému hluku</t>
  </si>
  <si>
    <t>Stěrka podlahová nivelační pro vyrovnání podkladu povlakových podlah pevnosti 20 MPa tl do 3 mm</t>
  </si>
  <si>
    <t>Vodou ředitelná penetrace savého podkladu povlakových podlah</t>
  </si>
  <si>
    <t>Lepení pásů z PVC standardním lepidlem</t>
  </si>
  <si>
    <t>PVC vinyl homogenní protiskluzná se vsypem a výztuž. vrstvou tl 2.00mm nášlapná vrstva 2.00mm, hořlavost Bfl-s1, třída zátěže 34/43, útlum 7dB, bodová zátěž ≤ 0.10mm, protiskluznost R10</t>
  </si>
  <si>
    <t>999776R</t>
  </si>
  <si>
    <t>Stavební práce a dodávky spojené s provedením funkčního celku 776</t>
  </si>
  <si>
    <t>Montáž prostorové vázané kce z hoblovaného řeziva průřezové pl do 120 cm2</t>
  </si>
  <si>
    <t>deska dřevoštěpková OSB 3 P+D broušená tl 20mm</t>
  </si>
  <si>
    <t>999714R</t>
  </si>
  <si>
    <t>Stavební práce a dodávky spojené s provedením funkčního celku 714</t>
  </si>
  <si>
    <t>Montáž izolace tepelné stěn a základů lepením celoplošně rohoží, pásů, dílců, desek</t>
  </si>
  <si>
    <t>999712R</t>
  </si>
  <si>
    <t>Stavební práce a dodávky spojené s provedením funkčního celku 712</t>
  </si>
  <si>
    <t xml:space="preserve">" Čistý úklid před předáním hotové stavby " </t>
  </si>
  <si>
    <t>Přesun hmot</t>
  </si>
  <si>
    <t>" Zpětný zásyp okolo objektu + drobné zásypy v exteriéru po provedení bouracích prací, atp "</t>
  </si>
  <si>
    <t>Přesun hmot pro budovy zděné v do 6 m</t>
  </si>
  <si>
    <t>Demontáž lešení řadového trubkového těžkého s podlahami zatížení do 300 kg/m2 š od 1,2 do 1,5 m v do 10 m</t>
  </si>
  <si>
    <t>Montáž lešení řadového trubkového těžkého s podlahami zatížení do 300 kg/m2 š od 1,5 do 1,8 m v do 10 m</t>
  </si>
  <si>
    <t>Příplatek k lešení řadovému trubkovému těžkému s podlahami š 1,5 m v 10 m za první a ZKD den použití</t>
  </si>
  <si>
    <t>Založení parkového trávníku výsevem pl do 1000 m2 v rovině a ve svahu do 1:5</t>
  </si>
  <si>
    <t>kg</t>
  </si>
  <si>
    <t>osivo směs travní parková</t>
  </si>
  <si>
    <t>8</t>
  </si>
  <si>
    <t>9</t>
  </si>
  <si>
    <t>11</t>
  </si>
  <si>
    <t>12</t>
  </si>
  <si>
    <t>13</t>
  </si>
  <si>
    <t>14</t>
  </si>
  <si>
    <t>15</t>
  </si>
  <si>
    <t>16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</si>
  <si>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</si>
  <si>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</si>
  <si>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</si>
  <si>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</si>
  <si>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</si>
  <si>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</si>
  <si>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</si>
  <si>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</si>
  <si>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</si>
  <si>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</si>
  <si>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</si>
  <si>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</si>
  <si>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</si>
  <si>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</si>
  <si>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</si>
  <si>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</si>
  <si>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</si>
  <si>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</si>
  <si>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</si>
  <si>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</si>
  <si>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42</t>
  </si>
  <si>
    <t>43</t>
  </si>
  <si>
    <t>Zpevněné plochy</t>
  </si>
  <si>
    <t>Silnoproud</t>
  </si>
  <si>
    <t>Slaboproud</t>
  </si>
  <si>
    <t>EZS</t>
  </si>
  <si>
    <t>Vytápění</t>
  </si>
  <si>
    <t>Kanalizace</t>
  </si>
  <si>
    <t>Položkový rozpočet je zpracován na podkladě projektové dokumentace pro provedení stavby.
Nedílnou součástí tohoto položkového rozpočtu je projektová dokumentace pro provedení stavby.</t>
  </si>
  <si>
    <t>151101201</t>
  </si>
  <si>
    <t>Zřízení příložného pažení stěn výkopu hl do 4 m</t>
  </si>
  <si>
    <t>151101211</t>
  </si>
  <si>
    <t>Odstranění příložného pažení stěn hl do 4 m</t>
  </si>
  <si>
    <t>Zřízení rozepření stěn při pažení příložném hl do 4 m</t>
  </si>
  <si>
    <t>151101311</t>
  </si>
  <si>
    <t>Odstranění rozepření stěn při pažení příložném hl do 4 m</t>
  </si>
  <si>
    <t>162211319</t>
  </si>
  <si>
    <t>Příplatek k vodorovnému přemístění výkopku z horniny třídy těžitelnosti I skupiny 1 až 3 stavebním kolečkem za každých dalších 10 m</t>
  </si>
  <si>
    <t>162751117</t>
  </si>
  <si>
    <t>Vodorovné přemístění do 10km výkopku/sypaniny z horniny třídy těžitelnosti I skupiny 1 až 3 se složením</t>
  </si>
  <si>
    <t>Příplatek k vodorovnému přemístění výkopku/sypaniny z horniny třídy těžitelnosti I skupiny 1 až 3 ZKD 1km přes 10km</t>
  </si>
  <si>
    <t>171111111</t>
  </si>
  <si>
    <t>Hutnění zeminy pro spodní stavbu tl do 20 cm</t>
  </si>
  <si>
    <t>171201221</t>
  </si>
  <si>
    <t>Poplatek za uložení na skládce (skládkovné) zeminy a kamení kód odpadu 17 05 04</t>
  </si>
  <si>
    <t>762795000</t>
  </si>
  <si>
    <t>Spojovací prostředky pro montáž prostorových vázaných kcí</t>
  </si>
  <si>
    <t xml:space="preserve">" Příplatek za spojovací prostředky tesařských konstrukcí " </t>
  </si>
  <si>
    <t>764009R</t>
  </si>
  <si>
    <t>Demontáž klempířškých prvků nespecifikovaných</t>
  </si>
  <si>
    <t xml:space="preserve">" Demontáž ostatních, nespecifikovaných, klempířškých prvků na fasádě a střeše objektu " </t>
  </si>
  <si>
    <t>Odvoz suti a vybouraných hmot na skládku nebo meziskládku do 1 km se složením</t>
  </si>
  <si>
    <t>Část:   Zpevněné plochy</t>
  </si>
  <si>
    <t>Vytrhání obrub chodníkových ležatých</t>
  </si>
  <si>
    <t>Sejmutí ornice plochy do 500 m2 tl vrstvy do 200 mm strojně</t>
  </si>
  <si>
    <t>obrubník betonový silniční 500x150x250mm</t>
  </si>
  <si>
    <t>Osazení silničního obrubníku betonového stojatého s boční opěrou do lože z betonu prostého</t>
  </si>
  <si>
    <t xml:space="preserve">" Provedení nových zpevněných ploch - skladba ZP1 " </t>
  </si>
  <si>
    <t>Podklad ze štěrkodrtě ŠD plochy jednotlivě přes 100 m2 tl 250 mm se zhutněním</t>
  </si>
  <si>
    <t>" Založení parkového trávníku výsevem " 32,5+35</t>
  </si>
  <si>
    <t>Plošná úprava terénu do 500 m2 zemina skupiny 1 až 4 nerovnosti přes 50 do 100 mm v rovinně a svahu do 1:5</t>
  </si>
  <si>
    <t>182</t>
  </si>
  <si>
    <t>182303111R</t>
  </si>
  <si>
    <t>Doplnění zeminy nebo substrátu na travnatých plochách tl 100 mm rovina v rovinně a svahu do 1:5</t>
  </si>
  <si>
    <t>substrát pro trávníky VL</t>
  </si>
  <si>
    <t>103</t>
  </si>
  <si>
    <t>" Uložení sypaniny na skládku nebo meziskládku s úpravou do předepsaného tvaru "</t>
  </si>
  <si>
    <t>" Uložení a likvidace veškerých vybouraných hmot a suti v souladu se zákonem o odpadech a platnou legislativou "</t>
  </si>
  <si>
    <t>Přesun hmot pro pozemní komunikace</t>
  </si>
  <si>
    <t>76699913R</t>
  </si>
  <si>
    <t>76699914R</t>
  </si>
  <si>
    <t>Geodetické zaměření a vypracování geometrického plánu – dle ustanovení SOD</t>
  </si>
  <si>
    <t>Zařízení a vybavení staveniště dle SoD apod., vč nákladů na energie</t>
  </si>
  <si>
    <t>184</t>
  </si>
  <si>
    <t>294</t>
  </si>
  <si>
    <t>MŠ LIPTOVSKÁ - REKONSTRUKCE</t>
  </si>
  <si>
    <t>Datum: 12/2022</t>
  </si>
  <si>
    <t>" Demontáž stávajícího zábradlí - viz prvek Z1 " 25,5*1,2</t>
  </si>
  <si>
    <t>Demontáž venkovních požárních žebříků bez ochranného koše</t>
  </si>
  <si>
    <t xml:space="preserve">" Demontáž stávajícího žebříku na střechu - viz prvek Z2 " </t>
  </si>
  <si>
    <t>Fasádní žebřík dl 4000mm - Specifikace dle PD - Z3</t>
  </si>
  <si>
    <t>" Demontáž stávajícího zábradlí - viz prvek Z4 " 25*1,2</t>
  </si>
  <si>
    <t>Zábradlí pochozí střechy dl 12x1200mm - Specifikace dle PD - Z5</t>
  </si>
  <si>
    <t xml:space="preserve">" Provedena replika stávajícího zábradlí, pozinkovaná ocel+komaxit, váha oceli 507kg, výplň tabulí z drátoskla 1,2x0,45m v počtu 12ks, uložení výplně tabulí pomocí pryžových zasklívacích pásků " </t>
  </si>
  <si>
    <t>" Pozinkovaná ocel+komaxit, kotven do fasády - 6x kotevní bod "</t>
  </si>
  <si>
    <t>Úprava stávajícího zábradlí - Specifikace dle PD - Z6</t>
  </si>
  <si>
    <t>" Úprava stávajícího zábradlí š 1,1m - zkrácení pole o 200mm - vysklení drátoskla 1 pole, odřezání 2x kotvení oc sloupku, zkrácení madla, vodorovného rámu a rámu pro zasklení pásoviny o 200mm, posunutí sloupku o 200mm, navaření na srtávající rám+provedení kotvení do atiky na cehmickou kotvu, zasklení otvoru novou tabulí z drátoskla 900x450mm, 1x základní+2x vrchní krycí nátěr "</t>
  </si>
  <si>
    <t>Demontáž parapetních desek dřevěných nebo plastových šířky přes 300 mm délky přes 2000 mm</t>
  </si>
  <si>
    <t>" Vybourání (kompletní) stávajících parapetů š 700 a krytů radiátorů š 750mm vč nosné kce z jaklů a U profilů - předpokládaná váha oceli 622,9kg - viz prvek Z7 " 2*48</t>
  </si>
  <si>
    <t>Nátěry</t>
  </si>
  <si>
    <t>Odstranění nátěru ze zámečnických konstrukcí obroušením</t>
  </si>
  <si>
    <t>" Úprava stávajícího zábradlí schodišťového - viz prvek Z8 " 13,4*(0,7+0,7+0,7)+0,3*134</t>
  </si>
  <si>
    <t>" Úprava stávajícího madla schodišťového - viz prvek Z9 " 7,4*0,7+74*(0,1*0,3)</t>
  </si>
  <si>
    <t>Ometení zámečnických konstrukcí</t>
  </si>
  <si>
    <t>" Ometení zámečnických konstrukcí před provedením nátěru "</t>
  </si>
  <si>
    <t>Odmaštění zámečnických konstrukcí vodou ředitelným odmašťovačem</t>
  </si>
  <si>
    <t xml:space="preserve">" Odmaštění zámečnických konstrukcí před provedením nátěru " </t>
  </si>
  <si>
    <t>Základní antikorozní jednonásobný epoxidový nátěr zámečnických konstrukcí</t>
  </si>
  <si>
    <t>Krycí jednonásobný epoxidový nátěr zámečnických konstrukcí</t>
  </si>
  <si>
    <t>" Úprava stávajícího zábradlí schodišťového - viz prvek Z8 " 2*(13,4*(0,7+0,7+0,7)+0,3*134)</t>
  </si>
  <si>
    <t>" Úprava stávajícího madla schodišťového - viz prvek Z9 " 2*(7,4*0,7+74*(0,1*0,3))</t>
  </si>
  <si>
    <t>76799904R</t>
  </si>
  <si>
    <t>Únikové schodiště ocelové vnější - Specifikace dle PD - Z10</t>
  </si>
  <si>
    <t>" Před výrobou nutno nechat zpracovat výrobní dílenskou dokumentaci - součást dodávky položky "</t>
  </si>
  <si>
    <t>" Pozinkovaná ocel+komaxit, ocel S235, váha oceli schodiště 1370kg, váha oceli zábradlí 733kg "</t>
  </si>
  <si>
    <t>" Kotvící šrouby do základů M24-500 chemicky lepené 6ks, podestový rošt 1000x2150mm, 1200x1150mm, 1200x2000mm, 1200x250mm, typové schošitˇvové stupně 850x275+nosné pruty 30x2mm - 19ks, výplň hábradlí profilovaný tahokov z nerezového děrovaného plechu tl 3,0mm, tabule 800x1900mm - 2ks, 800x1900mm - 6ks, 800x925mm - 4ks, 800x1050mm - 3ks, 800x1075mm - 2ks, 800x1250mm - 1ks "</t>
  </si>
  <si>
    <t>" Včetně veškerých systémových, spojovacích, kotvících prvků a veškerého příslušenství "</t>
  </si>
  <si>
    <t>76799905R</t>
  </si>
  <si>
    <t>Úprava skříně ve fasádě 300x450mm - přípojka NN - Specifikace dle PD - Z11</t>
  </si>
  <si>
    <t>" Stávajícíc dvířka ponechána, provedeno nastavení dle tl zateplení o 200mm, osazena nová uzamykatelná plastová dvířka, všechny povrchy opatřeny 1x základním a 2x vrchním nátěrem, opatřeno standardním kováním, náastavec proveden z oceli L35/35mm kotvené do fasády - váha oceli 19,03kg "</t>
  </si>
  <si>
    <t>Rozebrání rámového oplocení na ocelové sloupky v do 1 m</t>
  </si>
  <si>
    <t xml:space="preserve">" Bourání stávajícího oplocení " </t>
  </si>
  <si>
    <t>Rozebrání vrat a vrátek k oplocení pl do 2 m2</t>
  </si>
  <si>
    <t>" Demontáž mříží větrání střechy - viz výpis ostatních prvků, prvek č.1 " 41*(0,2*0,2)</t>
  </si>
  <si>
    <t>" Vyspravení vnější omítky po demontáži mřížek a zaslepení větracích otvorů " (0,5*0,5)*41</t>
  </si>
  <si>
    <t>733193928R</t>
  </si>
  <si>
    <t>Zaslepení potrubí ocelového hladkého PU pěnou D 100</t>
  </si>
  <si>
    <t xml:space="preserve">" Zaslepení větracích otvorů PU pěnou " </t>
  </si>
  <si>
    <t>Lišta začisťovací okenní APU - Specifikace dle výpisu ostatních prvků - 2</t>
  </si>
  <si>
    <t>Interiérová dilatační stěnová lišta š 20mm - Specifikace dle výpisu ostatních prvků - 3</t>
  </si>
  <si>
    <t>Dilatační podlahová lišta - Specifikace dle výpisu ostatních prvků - 4</t>
  </si>
  <si>
    <t>Fasádní dilatační stěnová lišta - Specifikace dle výpisu ostatních prvků - 5</t>
  </si>
  <si>
    <t>Mřížka do dveří eloxovaný hliník 400x100mm - Specifikace dle výpisu ostatních prvků - 6</t>
  </si>
  <si>
    <t>Čistící zóna 1. úrovně 1000x1500mm - Specifikace dle výpisu ostatních prvků - 8</t>
  </si>
  <si>
    <t>" Osazen zápustný rám z nerezové oceli, vložena rohož - kaučukovo-gumová rohož s drenážními otvory "</t>
  </si>
  <si>
    <t>Čistící zóna 2. úrovně 1500x1500mm - Specifikace dle výpisu ostatních prvků - 9</t>
  </si>
  <si>
    <t>Přenosný hasící přístroj na stěnu - Specifikace dle výpisu ostatních prvků - 7</t>
  </si>
  <si>
    <t>Zapuštěné zrcadlo do obkladu 600x900mm lemování nerez lišty - Specifikace dle výpisu ostatních prvků - 10</t>
  </si>
  <si>
    <t>" VZT jednotka včetně krytu - slouží k odvětrání rozvodny cetin, opatřena ochranným krytem "</t>
  </si>
  <si>
    <t xml:space="preserve">" Dojde k demontáži jednotky, vložení kabelového vedení do chráničky v izolantu zateplení fasády, zpetnému osazení VZT jednotky, komplet -stávající jednotka, nové hmoždinky + šrouby do zdiva přes zateplení, osazení 2x nové konzoly pro zavěšení " </t>
  </si>
  <si>
    <t>Úprava VZT jednotky CETIN - Specifikace dle výpisu ostatních prvků - 11</t>
  </si>
  <si>
    <t>Demontáž VZT jednotky - Specifikace dle výpisu ostatních prvků - 12</t>
  </si>
  <si>
    <t>" Demontáž VZT jednotky umístěné na fasádě objektu sloužící k odvětrání prostor stávající knihovny "</t>
  </si>
  <si>
    <t xml:space="preserve">" Využití jednotky / případná likvidace bude konzultována s investorem " </t>
  </si>
  <si>
    <t>Vložení kabelového vedení do chráničky - Specifikace dle výpisu ostatních prvků - 13</t>
  </si>
  <si>
    <t xml:space="preserve">" Vložení kabelového vedení větrací mřížky rozvodny CETIN do chráničky " </t>
  </si>
  <si>
    <t>Demontáž větrací mřížky stěnové průřezu přes 0,040 do 0,100 m2</t>
  </si>
  <si>
    <t xml:space="preserve">" Demontáž větrací mřížky rozvodny CETIN 300x300mm " </t>
  </si>
  <si>
    <t>Demontáž větrací mřížky stěnové průřezu přes 0,150 do 0,200 m2</t>
  </si>
  <si>
    <t xml:space="preserve">" Demontáž větrací mřížky rozvodny CETIN 350x500mm " </t>
  </si>
  <si>
    <t>Úprava větrací mřížky rozvodna CETIN 350x500mm - Specifikace dle výpisu ostatních prvků - 14</t>
  </si>
  <si>
    <t>" Osazení nové mřížky, komplet - nová mřížka, nové hmoždinky+šrouby do zdiva přes zateplení, nástavec tl 200mm, mřížka opatřena komaxitovým nátěrem "</t>
  </si>
  <si>
    <t>Zapuštěné zrcadlo do obkladu 300x3000mm lemování nerez lišty - Specifikace dle výpisu ostatních prvků - 15</t>
  </si>
  <si>
    <t xml:space="preserve">" Včetně veškerých kotvících a systémových prvků, včetně příslušenství " </t>
  </si>
  <si>
    <t>" Vnější žaluzie hliníkové tvar Z, elektricky ovládané s dálkovým ovladačem, umístěno nad nadpraží okna, mezi žaluzii a obvodovou stěnu vložen izolant z fenolické pěny tl 60mm v 250mm "</t>
  </si>
  <si>
    <t>Venkovní horizontální žaluzie - lamely š 70mm 3000x2100mm - Specifikace dle PD - S2</t>
  </si>
  <si>
    <t>Venkovní horizontální žaluzie - lamely š 70mm 2100x2100mm - Specifikace dle PD - S3</t>
  </si>
  <si>
    <t>Venkovní horizontální žaluzie - lamely š 70mm 2400x2100mm - Specifikace dle PD - S4</t>
  </si>
  <si>
    <t>78699905R</t>
  </si>
  <si>
    <t>Venkovní horizontální žaluzie - lamely š 70mm 1200x2100mm - Specifikace dle PD - S5</t>
  </si>
  <si>
    <t>78699906R</t>
  </si>
  <si>
    <t>Síť do okna 1500x1350mm - Specifikace dle PD - S6</t>
  </si>
  <si>
    <t xml:space="preserve">" Montáž vložením do rámu okna, hliníkový rám " </t>
  </si>
  <si>
    <t>78699907R</t>
  </si>
  <si>
    <t>Síť do okna 1500x750mm - Specifikace dle PD - S7</t>
  </si>
  <si>
    <t>" Nová parapetní sestava - nutno zhotovit z více částí plechu viz PD (parapety v sestavě), poplastovaný plech FeZn 0,75mm s povrchovou úpravou, typový prvek "</t>
  </si>
  <si>
    <t>Parapet poplastovaný plech FeZn š 240mm dl 1500mm - Specifikace dle PD - 1K</t>
  </si>
  <si>
    <t>Parapet poplastovaný plech FeZn š 240mm dl 13800mm - Specifikace dle PD - 2K</t>
  </si>
  <si>
    <t>Parapet poplastovaný plech FeZn š 240mm dl 1200mm - Specifikace dle PD - 3K</t>
  </si>
  <si>
    <t>Parapet poplastovaný plech FeZn š 240mm dl 6000mm - Specifikace dle PD - 4K</t>
  </si>
  <si>
    <t>Parapet poplastovaný plech FeZn š 240mm dl 4200mm - Specifikace dle PD - 5K</t>
  </si>
  <si>
    <t>Parapet poplastovaný plech FeZn š 240mm dl 600mm - Specifikace dle PD - 6K</t>
  </si>
  <si>
    <t>Parapet poplastovaný plech FeZn š 240mm dl 3600mm - Specifikace dle PD - 7K</t>
  </si>
  <si>
    <t>Parapet poplastovaný plech FeZn š 240mm dl 900mm - Specifikace dle PD - 8K</t>
  </si>
  <si>
    <t>Sanační vpusť s límcem - Specifikace dle PD - 9K</t>
  </si>
  <si>
    <t>" Do stávajícího svodu DN100 vložena nová střešní vpusť s límcem (PVC folie dle zvolené střešní krytiny) izolovaná s ochranným košem "</t>
  </si>
  <si>
    <t>76499910R</t>
  </si>
  <si>
    <t xml:space="preserve">" Chrlič - přepad přes atiku DN100, opatřen límcem " </t>
  </si>
  <si>
    <t>76499911R</t>
  </si>
  <si>
    <t>76499912R</t>
  </si>
  <si>
    <t>" Lakovaný pozinkovaný plech tl 0,60mm "</t>
  </si>
  <si>
    <t xml:space="preserve">" Dešťový svod DN100 vč objímek svodové roury na šroub a trn + trn k objímce, lakovaný pozinkovaný plech tl 0,60mm " </t>
  </si>
  <si>
    <t>76499913R</t>
  </si>
  <si>
    <t>Závětrná lišta z poplastovaného plechu rš 250mm - Specifikace dle PD - 13K</t>
  </si>
  <si>
    <t>76499914R</t>
  </si>
  <si>
    <t>Koutová lišta vnější z poplastovaného plechu rš 100mm - Specifikace dle PD - 14K</t>
  </si>
  <si>
    <t>76499915R</t>
  </si>
  <si>
    <t>Koutová lišta vnitřní z poplastovaného plechu rš 100mm - Specifikace dle PD - 15K</t>
  </si>
  <si>
    <t>76499916R</t>
  </si>
  <si>
    <t>Oplechování dilatace mezi atikami z poplastovaného plechu rš 500mm - Specifikace dle PD - 16K</t>
  </si>
  <si>
    <t>76499917R</t>
  </si>
  <si>
    <t>ks</t>
  </si>
  <si>
    <t xml:space="preserve">" Opatřen límcem, PVC folie dle zvolené krytiny " </t>
  </si>
  <si>
    <t>Komínek odvětrání kanalizace DN 100 v 600mm - Specifikace dle PD - 17K</t>
  </si>
  <si>
    <t>Koleno svodové roury 70st DN 100 - Specifikace dle PD - 12K</t>
  </si>
  <si>
    <t>Dešťový svod DN 100 - Specifikace dle PD - 11K</t>
  </si>
  <si>
    <t>Přepad přes atiku DN 100 - Specifikace dle PD - 10K</t>
  </si>
  <si>
    <t>76499918R</t>
  </si>
  <si>
    <t>Komínek odvětrání kanalizace DN 125 v 600mm - Specifikace dle PD - 18K</t>
  </si>
  <si>
    <t>76499919R</t>
  </si>
  <si>
    <t>Komínek odvětrání kanalizace DN 150 v 600mm - Specifikace dle PD - 19K</t>
  </si>
  <si>
    <t>Demontáž schodišťového madla upevněného na středovou konstrukci</t>
  </si>
  <si>
    <t>" Demontáž stávajícího dřevěného madla s drážkou - viz výpis truhlářských výrobků - prvek č. T16 "</t>
  </si>
  <si>
    <t>Vnitřní parapet + kryt radiátoru + police dl 4360mm v 750mm - Specifikace dle PD - T1</t>
  </si>
  <si>
    <t xml:space="preserve">" Kompletní výrobek (sestava) - dřevotřískové desky s povrchovou úpravou laminování, boční lemování ABS hrana, deska lamino tl 25mm, do parapetní desky vložená dřevěná mřížka z masivu 200x1200mm " </t>
  </si>
  <si>
    <t>" Včetně kování, veškerých systémových, spojovacích a kotvících prvků a veškerého příslušenství "</t>
  </si>
  <si>
    <t>Vnitřní parapet + kryt radiátoru + police dl 5560mm v 750mm - Specifikace dle PD - T2</t>
  </si>
  <si>
    <t>Vnitřní parapet + kryt radiátoru + police dl 1660mm v 750mm - Specifikace dle PD - T3</t>
  </si>
  <si>
    <t>Vnitřní parapet + kryt radiátoru dl 1305mm v 750mm - Specifikace dle PD - T4</t>
  </si>
  <si>
    <t>Vnitřní parapet + kryt radiátoru + police dl 6760mm v 750mm - Specifikace dle PD - T5</t>
  </si>
  <si>
    <t xml:space="preserve">" Kompletní výrobek (sestava) - dřevotřískové desky s povrchovou úpravou laminování, boční lemování ABS hrana, deska lamino tl 25mm, do parapetní desky vložená hliníková mřížka 150x1200mm " </t>
  </si>
  <si>
    <t>Vnitřní parapet + kryt radiátoru + uzamykatelná skříňka dl 3420mm v 750mm - Specifikace dle PD - T6</t>
  </si>
  <si>
    <t>Vnitřní parapet + kryt radiátoru dl 2040mm v 750mm - Specifikace dle PD - T7</t>
  </si>
  <si>
    <t xml:space="preserve">" Kompletní výrobek (sestava) - dřevotřískové desky s povrchovou úpravou laminování, boční lemování ABS hrana, deska lamino tl 25mm, do parapetní desky vložená hliníková mřížka 100x1200mm " </t>
  </si>
  <si>
    <t>Vnitřní parapet + kryt radiátoru dl 1600mm v 750mm - Specifikace dle PD - T8</t>
  </si>
  <si>
    <t>Vnitřní parapet + kryt radiátoru + police dl 4360mm v 750mm - Specifikace dle PD - T9</t>
  </si>
  <si>
    <t>Vnitřní parapet + kryt radiátoru + police dl 3950mm v 750mm - Specifikace dle PD - T10</t>
  </si>
  <si>
    <t>Vnitřní parapet dl 3600mm - Specifikace dle PD - T11</t>
  </si>
  <si>
    <t>" Dřevotřískový parapet s povrchovou úpravou laminování, olaminování celé boční hrany, š 240mm, tl desky 18mm, š nosu 25mm "</t>
  </si>
  <si>
    <t>" Včetně veškerých systémových, spojovacích a kotvících prvků a veškerého příslušenství "</t>
  </si>
  <si>
    <t>Vnitřní parapet dl 1200mm - Specifikace dle PD - T12</t>
  </si>
  <si>
    <t>Vnitřní parapet dl 1500mm - Specifikace dle PD - T13</t>
  </si>
  <si>
    <t>Vnitřní parapet dl 900mm - Specifikace dle PD - T14</t>
  </si>
  <si>
    <t>76699915R</t>
  </si>
  <si>
    <t>Dubový práh dveří dl 900mm - Specifikace dle PD - T15</t>
  </si>
  <si>
    <t>" Masivní dřevěný práh v barvě dubu z jednoho kusu dřeva, rozměr 20x220x900mm, hoblovaný se zkosenou hranou, povrchová úprava 3x nátěr bezbarvý lak, osazení montážním lepidlem "</t>
  </si>
  <si>
    <t>Okno plastové 1200x2100mm - součást okenní sestavy - Uw = 1,00 W/m2K - Specifikace dle PD - O1</t>
  </si>
  <si>
    <t>Okno plastové 1500x2100mm - součást okenní sestavy - Uw = 1,00 W/m2K - Specifikace dle PD - O2</t>
  </si>
  <si>
    <t>Okno plastové 600x2100mm - součást okenní sestavy - Uw = 1,00 W/m2K - Specifikace dle PD - O3</t>
  </si>
  <si>
    <t>" Okno neotevíravé, hliníkový profil s přerušeným tepelným mostem, tříkomorový, rám okna doplněn o podkladní profil v 30mm pro osazení parapetů, zasklení trojsklo 4-12-4-12-4, plněno argonem "</t>
  </si>
  <si>
    <t>Okno hliníkové 1200x2100mm - součást okenní sestavy - Uw = 1,00 W/m2K EI 30 DP3- Specifikace dle PD - O4</t>
  </si>
  <si>
    <t>Okno plastové 1200x750mm - součást okenní sestavy - Uw = 1,00 W/m2K - Specifikace dle PD - O5</t>
  </si>
  <si>
    <t>Okno plastové 1200x750mm - součást okenní sestavy - Uw = 1,00 W/m2K - Specifikace dle PD - O6</t>
  </si>
  <si>
    <t>Okno plastové 900x2100mm - součást okenní sestavy - Uw = 1,00 W/m2K - Specifikace dle PD - O7</t>
  </si>
  <si>
    <t xml:space="preserve">" Okno otevíravé a vyklápěcí, šesti-komorový profil z PVC vyztužený ocelovou výztuhou, rám okna doplněn o podkladní profil v 30mm pro osazení parapetů, zasklení trojsklo 4-12-4-12-4, plněno argonem, kování celoobvodové s mikroventilací, ovládací prvky plastové " </t>
  </si>
  <si>
    <t>" Okno fixní neotevíravé, šesti-komorový profil z PVC vyztužený ocelovou výztuhou, rám okna doplněn o podkladní profil v 30mm pro osazení parapetů, zasklení HPL sendvičový pur panel v tl 36mm, bez kování "</t>
  </si>
  <si>
    <t>76699928R</t>
  </si>
  <si>
    <t>Okno plastové 600x2235mm - součást okenní sestavy - Uw = 1,00 W/m2K - Specifikace dle PD - O8</t>
  </si>
  <si>
    <t xml:space="preserve">" Okno otevíravé a vyklápěcí, šesti-komorový profil z PVC vyztužený ocelovou výztuhou, rám okna doplněn o podkladní profil v 30mm pro osazení parapetů, rám okna v nadpraží doplněn o rozšiřovací profil v 100+30mm, zasklení trojsklo 4-12-4-12-4, plněno argonem, kování celoobvodové s mikroventilací, ovládací prvky plastové " </t>
  </si>
  <si>
    <t>76699929R</t>
  </si>
  <si>
    <t>Okno hliníkové vnitřní 900x900mm - Specifikace dle PD - O9</t>
  </si>
  <si>
    <t>" Jednoduchý hliníkový profil, bezpečnostní prosklení z lepených skel VSG 33.2, max.tl. 8mm, čiré, bez kování "</t>
  </si>
  <si>
    <t>" Dveře prosklené, hliníkový profil s přerušeným tepelným mostem, tříkomorový, rám v nadpraží doplněn o rozšiřovací profil v 100+30mm, bezpečnostní prosklení proti vandalismu VSG 33.2-12-4-12-VSG 33.2 trosklo, plněno argonem, kování dveřní křídlo závěsy typové, samostatný štítek a válečkový zámek, bezpečnostní cylindrická vložka, VE VÝROBĚ PROVEDENA PŘÍPRAVA NA OSAZENÍ ELEKTROMAGNETICKÉHO ZÁMKU, povrchová úprava nerez, opatřeno samozavíračem otevíravého křídla a stavěčem dveřních křídel, bez prahu, ukončení v návaznosti na typ nášlapné vrstvy, okopová hrana dveří, opatřeno vodorovným madlem pro celou šířku "</t>
  </si>
  <si>
    <t>Vstupní dveře hliníkové s nadsvětlíkem do otvoru 1810x2960mm - Uw = 1,00 W/m2K - Specifikace dle PD - D1</t>
  </si>
  <si>
    <t>Únikové dveře hliníkové s nadsvětlíkem do otvoru 1200x2825mm Uw = 1,00 W/m2K EW 30 DP3-C - Specifikace dle PD - D2</t>
  </si>
  <si>
    <t>" Dveře prosklené, hliníkový profil s přerušeným tepelným mostem, tříkomorový, bezpečnostní prosklení proti vandalismu VSG 33.2-12-4-12-VSG 33.2 trosklo, plněno argonem, kování dveřní křídlo závěsy typové, samostatný štítek a zámek, standardní bezpečnostní vložka, ovládání přes cylindrickou bezpečnostní vložku, povrchová úprava nerez, opatřeno samozavíračem otevíravého křídla, bezprahové, ukončení v návaznosti na typ nášlapné vrstvy "</t>
  </si>
  <si>
    <t>Vstupní dveře plastové do otvoru 1200x2075mm Uw = 1,00 W/m2K - Specifikace dle PD - D3</t>
  </si>
  <si>
    <t xml:space="preserve">" Dveře částečně prosklené, šesti komorový profil PVC vyztužený ocelovou výztuhou, bezpečnostní prosklení proti vandalismu VSG 33.2-12-4-12-VSG 33.2, HPL sendvičový PUR panel tl 36mm, závěsy typové, samostatný štítek a zámek, standardní bezpečnostní vložka, ovládání přes cylindrickou bezpečnostní vložku, povrchová úprava nerez, opatřeno stavěčem křídel, bez prahu, ukončení v návaznosti na typ nášlapné vrstvy " </t>
  </si>
  <si>
    <t>Vnitřní dveře laminát 800x1970mm EW 30 DP3-C - Specifikace dle PD - D4</t>
  </si>
  <si>
    <t>Vnitřní dveře laminát 800x1970mm EW 30 DP3-C - Specifikace dle PD - D5</t>
  </si>
  <si>
    <t>Vnitřní dveře laminát 800x1970mm EW 30 DP3-C - Specifikace dle PD - D6</t>
  </si>
  <si>
    <t>" Dveře jednokřídlé, plné, hladké, do nové ocelové zárubně pro zazdění, opatřeno profilovaným těsněním, osazené na příčku 150mm, opatřené nátěrem 1x základní + 2x vrchní, materiál vysokotlaký laminát HPL, dveřní křídlo jednokřídlé, plné, hladké, vysokotlaký laminát 0,8mm (odolnost proti mechanickému poškození a poškrábání), konstrukce dveří - dutinková dřevotříska (DTD), závěsy typové, samostatný štítek a zámek, základní cylindrická vložka, povrchová úprava eloxovaný hliník, opatřeno samozavíračem, prahová krycí lišta s dorazem "</t>
  </si>
  <si>
    <t>Vnitřní dveře laminát 800x1970mm EW 30 DP3-C - Specifikace dle PD - D7</t>
  </si>
  <si>
    <t>76699938R</t>
  </si>
  <si>
    <t>Vnitřní dveře laminát 600x1970mm EW 30 DP3-C - Specifikace dle PD - D8</t>
  </si>
  <si>
    <t>" Dveře jednokřídlé, plné, hladké, do nové ocelové zárubně pro zazdění, opatřeno profilovaným těsněním, osazené na příčku 100mm, opatřené nátěrem 1x základní + 2x vrchní, materiál vysokotlaký laminát HPL, dveřní křídlo jednokřídlé, plné, hladké, vysokotlaký laminát 0,8mm (odolnost proti mechanickému poškození a poškrábání), konstrukce dveří - dutinková dřevotříska (DTD), závěsy typové, samostatný štítek a zámek, základní cylindrická vložka, povrchová úprava eloxovaný hliník, opatřeno samozavíračem, prahová krycí lišta s dorazem "</t>
  </si>
  <si>
    <t>" Úprava stávajících ocelových dveří atypických vč zárubní - viz prvek D9 " 2*(0,8*1,35)+(0,8+2,7)*0,3</t>
  </si>
  <si>
    <t>76699940R</t>
  </si>
  <si>
    <t>76699941R</t>
  </si>
  <si>
    <t>" Dveře jednokřídlé, hladké, částečně prosklené, do nové ocelové zárubně pro zazdění, opatřeno profilovaným těsněním, osazené na příčku 100mm, opatřené nátěrem 1x základní + 2x vrchní, materiál vysokotlaký laminát HPL, dveřní křídlo jednokřídlé, plné, hladké, vysokotlaký laminát 0,8mm (odolnost proti mechanickému poškození a poškrábání), konstrukce dveří - dutinková dřevotříska (DTD), bezpečnostní prosklení z lepených skel VSG 33.2, max.tl. 8mm, neprůhledné, závěsy typové, samostatný štítek a zámek, základní cylindrická vložka, povrchová úprava eloxovaný hliník, opatřeno samozavíračem, prahová krycí lišta s dorazem "</t>
  </si>
  <si>
    <t>Vnitřní dveře laminát 1450x1970mm - Specifikace dle PD - D10</t>
  </si>
  <si>
    <t>Vnitřní dveře laminát 900x1970mm - Specifikace dle PD - D11</t>
  </si>
  <si>
    <t>76699942R</t>
  </si>
  <si>
    <t>Vnitřní dveře laminát 900x1970mm - Specifikace dle PD - D12</t>
  </si>
  <si>
    <t>" Dveře jednokřídlé, hladké, částečně prosklené, do nové ocelové zárubně pro zazdění, opatřeno profilovaným těsněním, osazené na příčku 150mm, opatřené nátěrem 1x základní + 2x vrchní, materiál vysokotlaký laminát HPL, dveřní křídlo jednokřídlé, plné, hladké, vysokotlaký laminát 0,8mm (odolnost proti mechanickému poškození a poškrábání), konstrukce dveří - dutinková dřevotříska (DTD), bezpečnostní prosklení z lepených skel VSG 33.2, max.tl. 8mm, neprůhledné, závěsy typové, samostatný štítek a zámek, základní cylindrická vložka, povrchová úprava eloxovaný hliník, opatřeno samozavíračem, prahová krycí lišta s dorazem "</t>
  </si>
  <si>
    <t>76699943R</t>
  </si>
  <si>
    <t>Vnitřní dveře laminát 800x1970mm - Specifikace dle PD - D13</t>
  </si>
  <si>
    <t>76699944R</t>
  </si>
  <si>
    <t>Vnitřní dveře laminát 800x1970mm - Specifikace dle PD - D14</t>
  </si>
  <si>
    <t>76699945R</t>
  </si>
  <si>
    <t>" Dveře jednokřídlé, hladké, plné, do nové ocelové zárubně pro zazdění, opatřeno profilovaným těsněním, osazené na příčku 100mm, opatřené nátěrem 1x základní + 2x vrchní, materiál vysokotlaký laminát HPL, dveřní křídlo jednokřídlé, plné, hladké, vysokotlaký laminát 0,8mm (odolnost proti mechanickému poškození a poškrábání), konstrukce dveří - dutinková dřevotříska (DTD), závěsy typové, samostatný štítek a zámek, základní cylindrická vložka, povrchová úprava eloxovaný hliník, opatřeno samozavíračem, prahová krycí lišta s dorazem "</t>
  </si>
  <si>
    <t>Vnitřní dveře laminát 700x1970mm - Specifikace dle PD - D15</t>
  </si>
  <si>
    <t>76699946R</t>
  </si>
  <si>
    <t>Vnitřní dveře laminát 600x1970mm - Specifikace dle PD - D16</t>
  </si>
  <si>
    <t>76699947R</t>
  </si>
  <si>
    <t>Vnitřní dveře laminát 600x1970mm - Specifikace dle PD - D17</t>
  </si>
  <si>
    <t>" Dveře jednokřídlé, hladké, plné, do stávající ocelové zárubně, materiál vysokotlaký laminát HPL, dveřní křídlo jednokřídlé, plné, hladké, vysokotlaký laminát 0,8mm (odolnost proti mechanickému poškození a poškrábání), konstrukce dveří - dutinková dřevotříska (DTD), závěsy typové, samostatný štítek a zámek, základní cylindrická vložka, povrchová úprava eloxovaný hliník, opatřeno samozavíračem, prahová krycí lišta s dorazem "</t>
  </si>
  <si>
    <t>" Úprava zárubně stávajících dveří - viz prvek D17 " 0,3*(0,6+2*1,97)</t>
  </si>
  <si>
    <t>" Úprava stávajících ocelových dveří atypických vč zárubní - viz prvek D9 " 2*(2*(0,8*1,35)+(0,8+2,7)*0,3)</t>
  </si>
  <si>
    <t>" Úprava zárubně stávajících dveří - viz prvek D17 " 2*(0,3*(0,6+2*1,97))</t>
  </si>
  <si>
    <t>76699948R</t>
  </si>
  <si>
    <t>Vstupní dveře plastové 900x2675mm Uw = 1,00 W/m2K - Specifikace dle PD - D18</t>
  </si>
  <si>
    <t>" Dveře prosklené s nadsvětlíkem, šesti komorový profil PVC vyztužený ocelovou výztuhou, bezpečnostní prosklení proti vandalismu VSG 33.2-12-4-12-VSG 33.2, HPL sendvičový PUR panel tl 36mm, závěsy typové, samostatný štítek a zámek, standardní bezpečnostní vložka, ovládání přes cylindrickou bezpečnostní vložku, povrchová úprava nerez, opatřeno stavěčem křídel "</t>
  </si>
  <si>
    <t>" Úprava zárubně stávajících dveří - viz prvek D19 " 0,3*(0,8+2*1,97)</t>
  </si>
  <si>
    <t>" Úprava zárubně stávajících dveří - viz prvek D19 " 2*(0,3*(0,8+2*1,97))</t>
  </si>
  <si>
    <t>76699949R</t>
  </si>
  <si>
    <t>" Osazení nového zatepleného křídla s požární odolností, stávající informativní tabulky budou umístěny na nové dveřní křídlo, závěsy typové, samostatný štítek a zámek, základní cylindrická vložka, povrchová úprava eloxovaný hliník, dveře opatřeny samozavíračem, vložka zámku bude upravena na stávající klíč vstupních dveří rozvodny CETIN, bez prahu, ukončení v závistlosti na typu nášlapné vrstvy "</t>
  </si>
  <si>
    <t>Vnější dveře ocelové zateplené 800x1970mm Uw = 1,60 W/m2K EI 30 DP1-C - Specifikace dle PD - D19</t>
  </si>
  <si>
    <t>" Bourání stávajících podlahových kcí 1NP - betonová mazanina / cementový potěr tl 50mm " 0,05*(277,8-228,5-7)</t>
  </si>
  <si>
    <t>" Bourání stávajících podlahových kcí 1NP - betonová mazanina / cementový potěr tl 70mm " 0,07*(12,3+11,5+16,4+1,2+3+24,3+73+56,5+3,1+27,2)</t>
  </si>
  <si>
    <t>" Bourání stávajících podlahových kcí 2NP - betonová mazanina / cementový potěr tl 50mm " 0,05*(211,1-72,2-123,4)</t>
  </si>
  <si>
    <t>" Bourání stávajících podlahových kcí 2NP - betonová mazanina / cementový potěr tl 70mm " 0,07*(10,8+13,8+44,5+2,1+1+39,1+29,6+8,4+5,6+40,7)</t>
  </si>
  <si>
    <t>" Odstranění stávajících podlahových kcí 1NP - hydroizolační vrstvy lepenka + penetrace " 2*277,8</t>
  </si>
  <si>
    <t>" Odstranění stávajících podlahových kcí 2NP - hydroizolační vrstvy lepenka + penetrace " 2*211,1</t>
  </si>
  <si>
    <t>" Bourání stávajících nášlapných vrstev do suti 1NP - odstranění dlažby a cementového lože " 277,8-228,5-7</t>
  </si>
  <si>
    <t>" Bourání stávajících nášlapných vrstev do suti 2NP - odstranění dlažby a cementového lože " 211,1-72,2-123,4</t>
  </si>
  <si>
    <t>" Bourání stávajících nášlapných vrstev do suti 1NP - odstranění koberce " 7</t>
  </si>
  <si>
    <t>" Bourání stávajících nášlapných vrstev do suti 1NP - odstranění PVC " 12,3+11,5+16,4+1,2+3+14,3+73+56,5+3,1+27,2</t>
  </si>
  <si>
    <t>" Bourání stávajících nášlapných vrstev do suti 2NP - odstranění koberce " 39,1+29,6+8,4+5,6+40,7</t>
  </si>
  <si>
    <t>" Bourání stávajících nášlapných vrstev do suti 2NP - odstranění PVC " 10,8+13,8+44,5+2,1+1</t>
  </si>
  <si>
    <t>" Demontáž mříže bezpečnostní 1NP " 2,2*3</t>
  </si>
  <si>
    <t>" Demontáž stávajícího zavěšeného podhledu spojovací chodba 1NP " 27,2</t>
  </si>
  <si>
    <t>" Odsekání stávajících vnitřních bělninových obkladů, včetně omítky až na zdivo 1NP " 0,1*(5,6+5,6+4,5+4+4,9)+1,3*(3,5+7,1+3+4,1)+1,4*(2,8+1,6+3+1,7)+1,5*(3,3+2,9+6,9+15)+2,1*(2,4+3)</t>
  </si>
  <si>
    <t>" Odsekání stávajících vnitřních bělninových obkladů, včetně omítky až na zdivo 2NP " 1,5*(4,8+3,5)+3*(3+3+3+4,2+2,4+1,8+2+4,6)</t>
  </si>
  <si>
    <t>" Bourání stávajících zděných parapetů " 4*(0,3*1,2*0,6)</t>
  </si>
  <si>
    <t>" Bourání vnitřní atiky " 7*0,3*0,6</t>
  </si>
  <si>
    <t>" Bourání stávajících parapetních panelů " 0,27*1,2*2+2*(0,27*1,2*0,8)</t>
  </si>
  <si>
    <t>" Bourání stávajících obvodových stěn 1NP " 3*(1,15+1,28+1,15+0,52+2,21)</t>
  </si>
  <si>
    <t>" Bourání stávajích vnitřních zdí tl 400mm " 0,4*3,3*1,2</t>
  </si>
  <si>
    <t>" Bourání stávajících zděných příček tl 100mm 1NP " 3*(6,6+1,2+0,9+1,5+0,8+1,2+6,8+1,9+0,5+1,15+0,4+0,4+1,2+1,8+2,8+3,2+1,5+1,6+1,9+1,5+2,4+1,4+0,4+1,2+2,7+4,7)</t>
  </si>
  <si>
    <t>Demontáž sádrovláknité příčky s jednoduchou ocelovou nosnou konstrukcí opláštění dvojité</t>
  </si>
  <si>
    <t>" Demontáž stávajících SDK příček tl 80mm 2NP " 3*2,85</t>
  </si>
  <si>
    <t>" Demontáž stávajících SDK příček tl 125mm 2NP " 3*5,9</t>
  </si>
  <si>
    <t>Demontáž SDK předsazené/šachtové stěny s jednoduchou nosnou kcí opláštění jednoduché</t>
  </si>
  <si>
    <t>" Demontáž SDK předstěny tl 70mm 2NP " 3*6,4</t>
  </si>
  <si>
    <t>Demontáž truhlářského obložení stěn z palubek</t>
  </si>
  <si>
    <t>" Demontáž obložení stěn OSB deskami 2NP " 3*(6,12+0,7+4,9+4,8+6,6+0,7+0,7+2+0,6+0,7+2,5)</t>
  </si>
  <si>
    <t>Odstranění tepelné izolace stěn lepené z vláknitých materiálů tl do 100 mm</t>
  </si>
  <si>
    <t>" Demontáž tepelné izolace pod OSB deskami 2NP " 3*(6,12+0,7+4,9+4,8+6,6+0,7+0,7+2+0,6+0,7+2,5)</t>
  </si>
  <si>
    <t>Demontáž prostorových vázaných kcí z hraněného řeziva průřezové pl přes 288 do 450 cm2</t>
  </si>
  <si>
    <t>" Demontáž pódia + podlahy z OSB desek + dřevěných roštů 2NP " (2*7,3+0,6+2,1)*0,3</t>
  </si>
  <si>
    <t>" Bourání stávajících zděných příček tl 100mm 2NP " 3*(0,7+0,2+1,2+0,3+2,4+1,8+0,4+1,5*3+0,9+1,2+2,1+0,8+0,7+1,9+5,4*2+6,1*2+2,9*2+4,8+2,2+1,6)</t>
  </si>
  <si>
    <t>Odstranění lepených podlahovin s podložkou ze schodišťových stupňů</t>
  </si>
  <si>
    <t>" Odstranění PVC nášlapů ze schodišťových stupňů " 22*1,2</t>
  </si>
  <si>
    <t>" Vybourání stávajících výplní otvorů 2NP " 2,1*(1,2+9,6+9,6+14,4)</t>
  </si>
  <si>
    <t xml:space="preserve">" Vybourání stávajících výplní otvorů 2NP - MIV š 600mm " </t>
  </si>
  <si>
    <t xml:space="preserve">" Vybourání stávajících výplní otvorů 2NP - MIV š 900mm " </t>
  </si>
  <si>
    <t xml:space="preserve">" Vybourání stávajících výplní otvorů 2NP - MIV š 1200mm " </t>
  </si>
  <si>
    <t>" Vybourání stávajících výplní otvorů 2NP vč nadsvětlíků " 2*(0,8*2,7)+1,6*6+1,8*2+2*(1,3*0,6)+1,2*3</t>
  </si>
  <si>
    <t xml:space="preserve">" Vybourání stávajících výplní otvorů 1NP - MIV š 600mm " </t>
  </si>
  <si>
    <t xml:space="preserve">" Vybourání stávajících výplní otvorů 1NP - MIV š 900mm " </t>
  </si>
  <si>
    <t xml:space="preserve">" Vybourání stávajících výplní otvorů 1NP - MIV š 1200mm " </t>
  </si>
  <si>
    <t xml:space="preserve">" Vybourání stávajících výplní otvorů 1NP - MIV š 750mm " </t>
  </si>
  <si>
    <t>" Vybourání stávajících výplní otvorů 1NP " (1,2*0,9)*11</t>
  </si>
  <si>
    <t>" Vybourání stávajících výplní otvorů 1NP " 2,1*(5,1+9,6+14,3)</t>
  </si>
  <si>
    <t>" Vybourání stávajících výplní otvorů 1NP vč nadsvětlíků " 1,5*2,8+2,2*2,1+(0,92*2,8)*2+1,8+1,6+1,5*2+6*1,6+3*1,2+1,6+1,5*2+1,2*2+1,6*2</t>
  </si>
  <si>
    <t>Penetrační disperzní nátěr vnitřních stropů nanášený ručně</t>
  </si>
  <si>
    <t xml:space="preserve">" Penetrace před provedením vyspravení omítek stropů " </t>
  </si>
  <si>
    <t>Demontáž střešního výlezu jakékoliv plochy</t>
  </si>
  <si>
    <t>Konstrukce pokrývačské</t>
  </si>
  <si>
    <t xml:space="preserve">" Demontáž střešního výlezu " </t>
  </si>
  <si>
    <t>Demontáž umyvadel bez výtokových armatur</t>
  </si>
  <si>
    <t>soubor</t>
  </si>
  <si>
    <t xml:space="preserve">" Demontáž zařizovacích předmětů 1NP " </t>
  </si>
  <si>
    <t>Demontáž výlevka litinová nebo ocelová</t>
  </si>
  <si>
    <t xml:space="preserve">" Demontáž zařizovacích předmětů 2NP " </t>
  </si>
  <si>
    <t>Demontáž klozetů splachovací s nádrží</t>
  </si>
  <si>
    <t>Demontáž pisoárových stání s nádrží a jedním záchodkem</t>
  </si>
  <si>
    <t>" Demontáž oplechování atik a navazujících prvků střešního pláště " 2*18,4+2*14,8+8+7,5</t>
  </si>
  <si>
    <t>Demontáž svodu do suti</t>
  </si>
  <si>
    <t xml:space="preserve">" Demontáž stávajících svodů svislých " </t>
  </si>
  <si>
    <t>Demontáž nadřímsového žlabu do suti</t>
  </si>
  <si>
    <t xml:space="preserve">" Demontáž stávajících chrličů/přepadů " </t>
  </si>
  <si>
    <t>" Bourání dělící stěny nadstřešní " 0,16*0,6*7,2</t>
  </si>
  <si>
    <t>" Odstranění kcí skladby stávajícího střešního pláště - násyp struskopísek tl 200mm  " 22+4,5+5*(0,75*0,75)+2*(0,75*0,75)</t>
  </si>
  <si>
    <t>" Odstranění kcí skladby stávajícího střešního pláště - heraklid tl 25mm " 22+4,5+5*(0,75*0,75)+2*(0,75*0,75)</t>
  </si>
  <si>
    <t>" Odstranění kcí skladby stávajícího střešního pláště - desky Polsid tl 50mm " 22+4,5+5*(0,75*0,75)+2*(0,75*0,75)</t>
  </si>
  <si>
    <t>" Odstranění kcí skladby stávajícího střešního pláště - živičná krytina " 22+4,5+5*(0,75*0,75)+2*(0,75*0,75)</t>
  </si>
  <si>
    <t>dlažba velkoformátová keramická slinutá hladká do interiéru přes 4 do 6ks/m2</t>
  </si>
  <si>
    <t>59761007R</t>
  </si>
  <si>
    <t>dlažba velkoformátová keramická slinutá hladká do interiéru přes 4 do 6ks/m2 mrazuvdzorná</t>
  </si>
  <si>
    <t>" Nové kce podlah - akustická kročejová izolace pod potěr tl 8mm - skladba PD4a + PD4c " 40,5+83,6+10,8+13,8+1,4+1,5+1,8+4,4+18,6+25,4+11,6+1+5</t>
  </si>
  <si>
    <t>" Nové kce podlah - akustická kročejová izolace pod potěr tl 8mm - skladba PD3a + PD3b " 16,6+40,6+82,9+4,9+4,5+25,3+9,7+1+7,3+6,1+10,8+4,5+13,8+28,7+1,2+1,4+1,8+4,4+18,6</t>
  </si>
  <si>
    <t>" Montáž podlahy z velkoformátové dlažby do flexibilního lepidla 1NP, včetně provedení soklů a detailů, včetně veškerých systémových prvků - skladba PD3b " 25,3+9,7+1+7,3+6,1+10,8+4,5+13,8+28,7+1,2+1,4+1,8+4,4+18,6+4,5</t>
  </si>
  <si>
    <t>" Montáž podlahy z velkoformátové dlažby do flexibilního lepidla 2NP, včetně provedení soklů a detailů, včetně veškerých systémových prvků - skladba PD4c " 10,8+13,8+1,4+1,5+1,8+4,4+18,6+25,4+11,6+1+5</t>
  </si>
  <si>
    <t>" Hydroizolace spodní stavby - skladby podlah PD3a + PD3b " 14,74*(16,41+1,92)+8*8,5</t>
  </si>
  <si>
    <t>" Penetrační nátěr asfaltový před provedeným hydroizolačních pásů spodní stavby "</t>
  </si>
  <si>
    <t>Vysátí podkladu před pokládkou dlažby</t>
  </si>
  <si>
    <t>" Očištění podkladu před provedením podlah "</t>
  </si>
  <si>
    <t>Vysátí podkladu povlakových podlah</t>
  </si>
  <si>
    <t>" Provedení nášlapné vrstvy lepením pásů PVC, včetně provedení soklů a detailů, včetně veškerých systémových prvků 1NP - skladba PD3a " 16,6+40,6+82,9+4,9</t>
  </si>
  <si>
    <t>" Provedení nášlapné vrstvy lepením pásů PVC, včetně provedení soklů a detailů, včetně veškerých systémových prvků 2NP - skladba PD4a " 40,5+83,6</t>
  </si>
  <si>
    <t>" Vyrovnání podlahy před provedením povlakových nášlapných vrstev "</t>
  </si>
  <si>
    <t>" Penetrace povrchu před provedením povlakových nášlapných vrstev "</t>
  </si>
  <si>
    <t>" Nové kce podlah - cementový potěr - skladba PD4a " 40,5+83,6</t>
  </si>
  <si>
    <t>" Nové kce podlah - cementový potěr - skladba PD4c " 10,8+13,8+1,4+1,5+1,8+4,4+18,6+25,4+11,6+1+5</t>
  </si>
  <si>
    <t>" Příplatek za další 7mm potěru skladba PD4a " 2*124,1</t>
  </si>
  <si>
    <t>" Příplatek za další 1mm potěru skladba PD4c " 95,3</t>
  </si>
  <si>
    <t>" Nové kce podlah - cementový potěr - skladba PD3a " 16,6+40,6+82,9+4,9</t>
  </si>
  <si>
    <t>" Nové kce podlah - cementový potěr - skladba PD3b " 4,5+4,5+13,8+28,7+1,2+1,4+1,8+4,4+18,6+25,3+9,7+1+7,3+6,1+10,8</t>
  </si>
  <si>
    <t>" Příplatek za dalších 7mm potěru skladba PD3a " 2*145</t>
  </si>
  <si>
    <t>" Příplatek za další 1mm potěru skladba PD3b " 139,1</t>
  </si>
  <si>
    <t>" Výztuž cementového potěru (nové kce podlah) sítí KARI 100/100/4 mm " ((503,5*4)/1000)*1,4</t>
  </si>
  <si>
    <t>Překlad nenosný pórobetonový š 100 mm v do 250 mm na tenkovrstvou maltu dl přes 1000 do 1250 mm</t>
  </si>
  <si>
    <t>" Nové překlady NEP 100 - 1250 1NP "</t>
  </si>
  <si>
    <t>" Nové překlady NEP 100 - 1250 2NP "</t>
  </si>
  <si>
    <t>Překlad nenosný pórobetonový š 150 mm v do 250 mm na tenkovrstvou maltu dl přes 1000 do 1250 mm</t>
  </si>
  <si>
    <t>" Nové překlady NEP 150 - 1250 1NP "</t>
  </si>
  <si>
    <t>" Nové ocelové překlady z profilů z válcované oceli typ L č.50/50/5mm+pásovina 50/5mm a L č.75/50/6mm+pásovina 50/5mm - 1NP "</t>
  </si>
  <si>
    <t>" Nové ocelové překlady z profilů z válcované oceli typ L č.50/50/5mm+pásovina 50/5mm a L č.75/50/6mm+pásovina 50/5mm - 2NP "</t>
  </si>
  <si>
    <t>úhelník ocelový nerovnostranný jakost S235JR (11 375) 75x50x6mm + pásovina 50/5mm</t>
  </si>
  <si>
    <t>Akustický minerální podhled Eurocoustic Tonga,  Eurocolors Eurodesign , 600x600x40mm, pohltivost alfa w=1,0, hrana A – rovná, reakce na oheň A1, deska jádro z kamenné vaty, povrchová vrstva ze skelnétkaniny probarvované ve výrobě, odolnost vůči vlhkosti 100%, Indoor air quality A+, balení po 7,2m2</t>
  </si>
  <si>
    <t>basový absorbér, technická izolace zabalená v perforované PE folii, 1200x600x40mm</t>
  </si>
  <si>
    <t>nosný rastr T24 bílý, 600x600mm, včetně obvodových lišt a přímých závěsů l=100mm</t>
  </si>
  <si>
    <t>montáž podhledu do 3,5m</t>
  </si>
  <si>
    <t xml:space="preserve">obklad difrakční rezonátor, tvar lichoběžníku se spodní hloubkou 80mm a horní hloubkou 200mm. Z vnitřní strany na přední stěně je položena minerální vata tl. 40mm. Rezonátor je naladěn na hlavní kmitočet 160Hz. Rezonátor je vyroben z drážkovaných desek z vermikulitu Grenamat B, reakce na oheň B-s1-d0, Povrch desky HPL index šíření plamene ≤20 mm/min. </t>
  </si>
  <si>
    <t>montáž obkladu</t>
  </si>
  <si>
    <t>7149901R</t>
  </si>
  <si>
    <t>7149902R</t>
  </si>
  <si>
    <t>7149903R</t>
  </si>
  <si>
    <t>7149904R</t>
  </si>
  <si>
    <t>7149905R</t>
  </si>
  <si>
    <t>7149906R</t>
  </si>
  <si>
    <t>" Montáž kazetového SDK podhledu 1NP " 28,7+18,6+7,3+10,8</t>
  </si>
  <si>
    <t>" Montáž kazetového SDK podhledu impregnovaného 1NP " 13,8+25,3</t>
  </si>
  <si>
    <t>" Montáž kazetového SDK podhledu 2NP " 18,6</t>
  </si>
  <si>
    <t>" Montáž kazetového SDK podhledu impregnovaného 2NP " 25,4</t>
  </si>
  <si>
    <t>59030596R</t>
  </si>
  <si>
    <t>59030597R</t>
  </si>
  <si>
    <t xml:space="preserve">podhled kazetový demontovatelný bílý pískový bez děrování hrana rovná tl 8mm 600x600mm impregnovaný, vč veškerých systémových prvků a příslušenství </t>
  </si>
  <si>
    <t>" Vyspravení omítek stropů v předpokládaném rozsahu 30% 2NP " 0,3*(10,8+13,8+1,4+1,5+1,8+4,4+11,6+1+5)</t>
  </si>
  <si>
    <t>" Vyspravení omítek stropů v předpokládaném rozsahu 30% 1NP " 0,3*(4,5+1,2+1,4+1,8+4,4+9,7+4,9+1+6,1)</t>
  </si>
  <si>
    <t>Vápenocementová omítka jádrová jednovrstvá tl 10mm vnitřních stropů rovných nanášená ručně</t>
  </si>
  <si>
    <t>Příplatek k vápenocementové omítce vnitřních stropů za každých dalších 5 mm tloušťky ručně</t>
  </si>
  <si>
    <t>Potažení vnitřních rovných stropů vápenocementovým štukem tloušťky do 3 mm</t>
  </si>
  <si>
    <t>" Potažení omítek stropů štukem v rozsahu 100% 1NP " 4,5+1,2+1,4+1,8+4,4+9,7+4,9+1+6,1</t>
  </si>
  <si>
    <t>" Potažení omítek stropů štukem v rozsahu 100% 2NP " 10,8+13,8+1,4+1,5+1,8+4,4+11,6+1+5</t>
  </si>
  <si>
    <t>" Penetrace před provedením obkladů "</t>
  </si>
  <si>
    <t>" Montáž bělninových obkladů 1NP " 2,05*(4+4,6+8,4+10+3*3+2,2+2+1,6+6,9+16+6+7,2+1,8+2,3)</t>
  </si>
  <si>
    <t>" Montáž bělninových obkladů 2NP " 2,05*(3,2*3+2,2+2+1,8+6,9+15+6,4+9,8)</t>
  </si>
  <si>
    <t xml:space="preserve">" Výkopy uvnitř objektu pro účely provedení nové dešťové kanalizace " </t>
  </si>
  <si>
    <t>" Výkopy uvnitř objektu pro účely provedení nové splaškové kanalizace "</t>
  </si>
  <si>
    <t>" Výkopy uvnitř objektu pro účely provedení vybourání stávající dešťové kanalizace "</t>
  </si>
  <si>
    <t>" Výkop pro základové patky únikového schodiště " 2*(0,8*0,8*1)+1,2*0,8*1</t>
  </si>
  <si>
    <t>" Výkop pro potřeby zateplení v bezprostřední blízkosti objektu " 0,5*0,7*(14,8+22+16,5+16,5)</t>
  </si>
  <si>
    <t>" Výkop pro zřízení základového pasu u únikového vstupu do objektu " 0,3*0,5*1,8</t>
  </si>
  <si>
    <t>" Zhutnění zeminy pro provedení základových konstrukcí "</t>
  </si>
  <si>
    <t>" Uvažováno s maximálním vodorovným přemístěním výkopku 30m = 20m příplatek " 20*174,94</t>
  </si>
  <si>
    <t>" Poplatek za uložení zeminy na skládce " (175-150)*1,5</t>
  </si>
  <si>
    <t>" Uložení nespotřebované vytěžené zeminy na skládku " 175-150</t>
  </si>
  <si>
    <t>" Vzd skládky do 20km = 10km příplatek " 10*25</t>
  </si>
  <si>
    <t>" Nové základové pásy u vstupu do objektu " 0,3*0,5*4,3</t>
  </si>
  <si>
    <t>Základové patky z betonu tř. C 20/25</t>
  </si>
  <si>
    <t>" Nové základové patky pro únikové schodiště " 2*(1*0,8*0,8)+1,2*0,8*1</t>
  </si>
  <si>
    <t>Zřízení bednění základových patek</t>
  </si>
  <si>
    <t>Odstranění bednění základových patek</t>
  </si>
  <si>
    <t>" Doplnění základových konstrukcí v místě nové ležaté kanalizace "</t>
  </si>
  <si>
    <t>" Výztuž nových základových desek 1x sítí KARI 150x150x8 mm " 1,2*((50*6)/1000)</t>
  </si>
  <si>
    <t>" Zazdívky a dozdívky obvodového pláště a atik 2NP " 3*(0,3+0,6+0,3+0,6+0,3+1,2+1,2+1,7)+0,8*(13,8-1,2+1,2+1,2+6+4,2+3,6)</t>
  </si>
  <si>
    <t>Zdivo z pórobetonových tvárnic hladkých přes P2 do P4 přes 450 do 600 kg/m3 na tenkovrstvou maltu tl 250 mm</t>
  </si>
  <si>
    <t>" Nové příčky a dělící stěny tl 150mm 1NP " 3*(0,6*2+1,9+2,1+0,8+0,6+0,6+4,7+2,3+2,1+1,8)</t>
  </si>
  <si>
    <t>" Nové příčky a dělící stěny tl 100mm 1NP " 3*(0,3+1,3+1,4+1,1+0,6+0,8+0,8+0,4+0,9+3+2,1+2,3+1,1+1,6+0,5+1,4+1,4+6,3+1,9+0,5+1,8)</t>
  </si>
  <si>
    <t>" Zazdívky a dozdívky obvodového pláště 1NP " 3*(1,2+1,2+1,2+1,2+0,3+0,6+0,3+0,3+0,3+1+0,5+0,5+0,2+0,6)+0,8*(1,2+1,2+3,6+3,6+1,5+13,8+2,4+0,6+6+4,2+1,8)</t>
  </si>
  <si>
    <t>" Nové příčky a dělící stěny tl 100mm 2NP " 3*(0,6+0,6+0,6+0,6+1,4+5,6+7,8+2,4+3+5,5+0,6+0,6+2,5+1,9+0,9)</t>
  </si>
  <si>
    <t>" Nové příčky a dělící stěny tl 150mm 2NP " 3*(0,6+0,6+0,6+2,1+0,7)</t>
  </si>
  <si>
    <t>" Provedení stěrkového tmelu s výztužnou sítí nově omítaných vnitřních povrchů stěn a zdí "</t>
  </si>
  <si>
    <t>" Provedení nových omítek dvouvrstvých tl jádrové omítky 10mm a tl štuku 3mm " 2*(66,1+45,8+218,2+75)</t>
  </si>
  <si>
    <t>" Penetrace 2x před provedením štukových omítek ponechávaných stěn (vyspravené omítky) a penetrace 1x nově omítaných povrchů "</t>
  </si>
  <si>
    <t>Oprava vnitřní cementové hladké omítky stěn tl do 20mm v rozsahu plochy přes 10 do 30 % s celoplošným přeštukováním tl štuku do 3mm</t>
  </si>
  <si>
    <t>" Vyspravení omítek stěn v předpokládaném rozsahu 30% + celoplošné štukování " 3*(2,7+2,7+4,6*2+2,7+14,2+10,6+7,5*9+9+3+2,7+1,5*4+28+0,9*4+2,7+1,6*13)</t>
  </si>
  <si>
    <t>" Montáž tesařských prvků - atika " 111+111+80,3+22</t>
  </si>
  <si>
    <t>" Provedení stabilizační vrstvy (přitížení folie) kladením dlažby 500x500x50mm ve dvou vrstvách v celkové tl 100mm " 2*275,6</t>
  </si>
  <si>
    <t>" Provedení pochozí plochy na střešním plášti kladením dlažby 500x500x50mm na distanční podložky (součást dodávky dlažby) "</t>
  </si>
  <si>
    <t>" Doplnění souvrství stávajícího střešního pláště - násyp Liapor tl 250mm " 0,25*(6*(0,8*0,8)+2*7,4+1)</t>
  </si>
  <si>
    <t>" Doplnění souvrství stávajícího střešního pláště - mazanina tl 50mm z hutného Liapor betonu " 0,05*(6*(0,8*0,8)+2*7,4+1)</t>
  </si>
  <si>
    <t>" Doplnění souvrství stávajícího střešního pláště - penetrační nátěr - vč detailů, přesahů a napojení " 6*(0,8*0,8)+2*7,4+1</t>
  </si>
  <si>
    <t xml:space="preserve">" Stávající střešní kce - asfaltový penetrační nátěr - skladba STŘ2 " </t>
  </si>
  <si>
    <t>" Nová střešní konstrukce - asfaltový penetrační nátěr atik - skladba STŘ2 " 2*(0,8*0,5)</t>
  </si>
  <si>
    <t>" Doplnění souvrství stávajícího střešního pláště vč detailů, přesahů a napojení - asfaltový SBS pás spodní vrstva HI střech ze dvou pásů " 6*(0,8*0,8)+2*7,4+1</t>
  </si>
  <si>
    <t>" Doplnění souvrství stávajícího střešního pláště vč detailů, přesahů a napojení - asfaltový SBS pás horní vrstva HI střech ze dvou pásů " 6*(0,8*0,8)+2*7,4+1</t>
  </si>
  <si>
    <t>" Doplnění souvrství stávajícího střešního pláště vč detailů, přesahů a napojení - asfaltový SBS pás parotěsná vrstva " 6*(0,8*0,8)+2*7,4+1</t>
  </si>
  <si>
    <t>pás asfaltový natavitelný modifikovaný SBS tl 4,0mm s vložkou z polyesterové rohože a spalitelnou PE fólií nebo jemnozrnným minerálním posypem na horním povrchu</t>
  </si>
  <si>
    <t>" Nová střešní konstrukce - parotěsná zábrana pás SBS vč detailů, přesahů a napojení - skladba STŘ2 " 14,8*1</t>
  </si>
  <si>
    <t>" Vyspravení stávající živičné krytiny - doplnění přířezy asfaltových pásů v rozsahu 40% " 0,4*(17,6*15,2+7,4*5,6)</t>
  </si>
  <si>
    <t>" Montáž zateplení stávající střechy izolantem EPS 150 tl 180mm, včetně provedení detailů - skladba STŘ1 " 17,2*14,8+7*5,2</t>
  </si>
  <si>
    <t>" Montáž zateplení vnitřní strany atiky izolantem XPS 150 tl 100mm, včetně provedení detailů - skladba STŘ1" 0,6*(16,6+16,6+14+14+13,5+6,7)</t>
  </si>
  <si>
    <t>" Montáž zateplení horní strany atiky izolantem XPS 150 tl 40mm, včetně provedení detailů - skladba STŘ1" 0,6*(34+28,8+14+7)</t>
  </si>
  <si>
    <t>" Provedení 2x separační vrstvy z netkané textilie z PP vláken 500g/m2 tl 4mm - jednostranně tavená, včetně veškerých systémových prvků a příslušenství - skladba STŘ1 " 2*(17,6*15,2+7,4*5,6+1,2*(16,6+16,6+28+13,5+7))</t>
  </si>
  <si>
    <t>" Separační vrstva netkaná textilie z PP vláken 300g/m2 jednostranně tavená, vč přesahů a napojení - skladba STŘ2 " 14,8*1</t>
  </si>
  <si>
    <t>" Provedení střešní folie z měkčeného PVCmechanicky kotvená, včetně veškerých systémových prvků a příslušenství - skladba STŘ1 " 17,6*15,2+7,4*5,6+1,2*(16,6+16,6+28+13,5+7)</t>
  </si>
  <si>
    <t>" Provedení střešní folie z měkčeného PVC mechanicky kotvená, včetně veškerých systémových prvků a příslušenství - skladba STŘ2 " 14,8*1</t>
  </si>
  <si>
    <t>" Montáž tepelné izolace ve spádu EPS tl 20-180mm, vč přesahů a napojení - skladba STŘ2 " 14,8*1</t>
  </si>
  <si>
    <t>" Montáž tepelné izolace XPS tl 220mm, vč přesahů a napojení - skladba STŘ2 " 14,8*1</t>
  </si>
  <si>
    <t>deska XPS hrana polodrážková a hladký povrch 300kPA tl 220mm</t>
  </si>
  <si>
    <t>Provedení povlakové krytiny střech do 10° násypem z hrubého kameniva tl 50 mm</t>
  </si>
  <si>
    <t xml:space="preserve">" Provedení protipožárního střešního násypu - stávající zastřešení " </t>
  </si>
  <si>
    <t>kamenivo drcené hrubé frakce 4-32 - násyp protipožární</t>
  </si>
  <si>
    <t>58343930R</t>
  </si>
  <si>
    <t>" Montáž obložení schodiště - stupnice " 22*1,2</t>
  </si>
  <si>
    <t>dlažba keramická hutná reliéfní do interiéru do 9ks/m2</t>
  </si>
  <si>
    <t>Montáž obkladů stupnic z dlaždic protiskluzných keramických flexibilní lepidlo š přes 250 do 300 mm</t>
  </si>
  <si>
    <t>Montáž obkladů podstupnic z dlaždic reliéfních keramických flexibilní lepidlo v do 150 mm</t>
  </si>
  <si>
    <t>" Montáž obložení schodiště - podstupnice " 22*1,2</t>
  </si>
  <si>
    <t>" Montáž tepelné izolace XPS 150 tl 20mm v 250mm - žaluzie " 0,25*(4*3,6+4*3+2*2,1+2*2,4+2*1,2)</t>
  </si>
  <si>
    <t>deska XPS hrana polodrážková a hladký povrch 300kPA tl 20mm</t>
  </si>
  <si>
    <t>" V ceně položky očištění podkladu před provedením systémové skladby. Včetně veškerých systémových a kotvících prvků a příslušenství (rohové, zakládací, ukončovací profily, atp.). Včetně provedení ostění. " 7,2*(17,3+17,3+22+22)</t>
  </si>
  <si>
    <t>" V ceně položky očištění podkladu před provedením systémové skladby. Včetně veškerých systémových a kotvících prvků a příslušenství (rohové, zakládací, ukončovací profily, atp.). Včetně provedení ostění. " 0,4*(17,3+17,3+22+22)</t>
  </si>
  <si>
    <t>" V ceně položky očištění podkladu před provedením systémové skladby. Včetně veškerých systémových a kotvících prvků a příslušenství (rohové, zakládací, ukončovací profily, atp.). Včetně provedení ostění. " 0,43*(17,3+17,3+22+22)</t>
  </si>
  <si>
    <t>" Hydroizolace spodní stavby " 1,9*(16,41+21,94+16,41+14,4)</t>
  </si>
  <si>
    <t>" Penetrace vnějších omítek před provedením KZS (po vyspravení povrchů) " 622,5+34,6+37,2</t>
  </si>
  <si>
    <t>Oprava cementové hladké omítky vnějších stěn v rozsahu přes 10 do 30 %</t>
  </si>
  <si>
    <t>" Vyspravení vnějších omítek před provedením KZS " 622,5+34,6+37,2</t>
  </si>
  <si>
    <t>deska XPS hrana polodrážková a hladký povrch 300kPA tl 200mm</t>
  </si>
  <si>
    <t>" Montáž tepelné izolace XPS 150 tl 200mm mezi novým základovým blokem u únikového vstupu a stávajícím základovým blokem " 0,5*4,5</t>
  </si>
  <si>
    <t>M</t>
  </si>
  <si>
    <t>Práce a dodávky M</t>
  </si>
  <si>
    <t>21-M</t>
  </si>
  <si>
    <t>Elektromontážní práce</t>
  </si>
  <si>
    <t>21M</t>
  </si>
  <si>
    <t>21M99901R</t>
  </si>
  <si>
    <t>" Výroba a dodávka materiálu výtahu/technologie (nových dílů a komponentů), demontáž stávajícího výtahu včetně ekologické likvidace, doprava na místo montáže, montáž, všechny předepsané revize a zkoušky a činnosti související s komplexní realizací díla. "</t>
  </si>
  <si>
    <t>" Součástí dodávky výtahu je i dodávka slabouproudé techniky "</t>
  </si>
  <si>
    <t>Výměna stávajícího výtahu šachta 1200x1200mm horní patro 2975mm prohlubeň 1000mm - Specifikace dle PD</t>
  </si>
  <si>
    <t>" Veškeré další vybavení výtahu dle specifikace v PD, včetně dodávky výrobní dokumentace "</t>
  </si>
  <si>
    <t>Vnitrostaveništní doprava suti a vybouraných hmot pro budovy v přes 6 do 9 m s použitím mechanizace</t>
  </si>
  <si>
    <t xml:space="preserve">" Vytvoření prostupu ve stávající desce pro provedení profesí " </t>
  </si>
  <si>
    <t>943221112</t>
  </si>
  <si>
    <t>Montáž lešení prostorového rámového těžkého s podlahami zatížení tř. 4 do 300 kg/m2 v přes 10 do 25 m</t>
  </si>
  <si>
    <t>943221212</t>
  </si>
  <si>
    <t>Příplatek k lešení prostorovému rámovému těžkému s podlahami tř.4 v 25 m za první a ZKD den použití</t>
  </si>
  <si>
    <t>943221812</t>
  </si>
  <si>
    <t>Demontáž lešení prostorového rámového těžkého s podlahami zatížení tř. 4 do 300 kg/m2 v přes 10 do 25 m</t>
  </si>
  <si>
    <t>" Pomocné lešení pro provedení provádění vnitřních konstrukcí a úprav povrchů "</t>
  </si>
  <si>
    <t>" Předpokládaná doba užití lešení 60 dní " 60*1993,6</t>
  </si>
  <si>
    <t>" Montáž lešení řadového trubkového těžkého pracovního s podlahami  z fošen nebo dílců min. tl. 38 mm, s provozním zatížením tř. 4 do 300 kg/m2 šířky tř. W15 přes 1,5 do 1,8 m, výšky do 10m " 7*(26+26+18,5+18,5)</t>
  </si>
  <si>
    <t>" Předpokládaná doba užití lešení 60 dní " 60*623</t>
  </si>
  <si>
    <t>Přesun hmot procentní pro stínění a čalounické úpravy v objektech v přes 6 do 12 m</t>
  </si>
  <si>
    <t>Přesun hmot procentní pro obklady keramické v objektech v přes 6 do 12 m</t>
  </si>
  <si>
    <t>Přesun hmot procentní pro podlahy povlakové v objektech v přes 6 do 12 m</t>
  </si>
  <si>
    <t>Přesun hmot procentní pro podlahy z dlaždic v objektech v přes 6 do 12 m</t>
  </si>
  <si>
    <t>Přesun hmot procentní pro zámečnické konstrukce v objektech v přes 6 do 12 m</t>
  </si>
  <si>
    <t>Přesun hmot procentní pro kce truhlářské v objektech v přes 6 do 12 m</t>
  </si>
  <si>
    <t>Přesun hmot procentní pro konstrukce klempířské v objektech v přes 6 do 12 m</t>
  </si>
  <si>
    <t>Přesun hmot procentní pro sádrokartonové konstrukce v objektech v přes 6 do 12 m</t>
  </si>
  <si>
    <t>Přesun hmot procentní pro kce tesařské v objektech v přes 6 do 12 m</t>
  </si>
  <si>
    <t>Přesun hmot procentní pro akustická a protiotřesová opatření v objektech v do 12 m</t>
  </si>
  <si>
    <t>Přesun hmot procentní pro izolace tepelné v objektech v přes 6 do 12 m</t>
  </si>
  <si>
    <t>Přesun hmot procentní pro krytiny povlakové v objektech v přes 6 do 12 m</t>
  </si>
  <si>
    <t>Přesun hmot procentní pro izolace proti vodě, vlhkosti a plynům v objektech v přes 6 do 12 m</t>
  </si>
  <si>
    <t>" Příplatek za dalších 10mm jádrové omítky " 2*25,9</t>
  </si>
  <si>
    <t>I.Ceny el. instalačního materiálu  (C21M, C22M, C36M, C38M, C46M)</t>
  </si>
  <si>
    <t>PČ</t>
  </si>
  <si>
    <t>Typ</t>
  </si>
  <si>
    <t>Množství</t>
  </si>
  <si>
    <t>Jedn. cena</t>
  </si>
  <si>
    <t>Rozvaděčová technika  (není-li  uvedeno  jinak)</t>
  </si>
  <si>
    <t>1.</t>
  </si>
  <si>
    <t>Smontovaný vestavný hlavní rozvaděč objektu, ozn. RB1, typ OCEP, rozměr (šxvxh) 596x1607x160mm, krytí IP40/20 (231 mod.), In=63A, parapet +0,4m, viz. výkres</t>
  </si>
  <si>
    <t>2.</t>
  </si>
  <si>
    <t>Smontovaný vestavný hlavní rozvaděč objektu, ozn. RB2, typ OCEP, rozměr (šxvxh) 596x1377x160mm, krytí IP40/20 (231 mod.), In=63A, parapet +0,6m, viz. výkres</t>
  </si>
  <si>
    <t>Elektroinstalační  materiál,  el. přístroje,  el. spotřebiče</t>
  </si>
  <si>
    <t>Spínač č.1, IP40, bílý-lesk, do krabice</t>
  </si>
  <si>
    <t>Přepínač č.5, IP40, bílý-lesk, do krabice</t>
  </si>
  <si>
    <t>3.</t>
  </si>
  <si>
    <t>Přepínač č.6, IP40, bílý-lesk, do krabice</t>
  </si>
  <si>
    <t>4.</t>
  </si>
  <si>
    <t>Přepínač č.7, IP40, bílý-lesk, do krabice</t>
  </si>
  <si>
    <t>5.</t>
  </si>
  <si>
    <t>Přepínač č.6+6, IP40, bílý-lesk, do krabice</t>
  </si>
  <si>
    <t>6.</t>
  </si>
  <si>
    <t>Žaluziový spínač č.1/0+1/0 s blokováním, IP40, bílý-lesk, do krabice</t>
  </si>
  <si>
    <t>7.</t>
  </si>
  <si>
    <t>Spínač automatický se snímačem pohybu 180°/12m, nástěnný, 230V/1200W, IP44</t>
  </si>
  <si>
    <t>8.</t>
  </si>
  <si>
    <t>Jednoduchá zásuvka 16A/230V + clonky, do krabice, bílá-lesk, IP40</t>
  </si>
  <si>
    <t>9.</t>
  </si>
  <si>
    <t>Jednoduchá zásuvka 16A/230V + clonky, do krabice, šedá-lesk, IP40, pro PC</t>
  </si>
  <si>
    <t>10.</t>
  </si>
  <si>
    <t>Jednoduchá zásuvka 16A/230V + clonky + T3, do krabice, šedá-lesk, IP40, PC</t>
  </si>
  <si>
    <t>11.</t>
  </si>
  <si>
    <t>Zásuvka do vlhka 16A/230V + clonky, bílá-lesk, do krabice, IP44</t>
  </si>
  <si>
    <t>12.</t>
  </si>
  <si>
    <t>Tlačítko T6 pod sklem (červené) "v případě požáru vypni" TOTAL STOP, IP55, (1xNO+1xNC)</t>
  </si>
  <si>
    <t>13.</t>
  </si>
  <si>
    <t>Krabice KU 68 - prázdná (pod omítku)</t>
  </si>
  <si>
    <t>14.</t>
  </si>
  <si>
    <t>Krabice KU 68 - prázdná + víčko (pod omítku)</t>
  </si>
  <si>
    <t>15.</t>
  </si>
  <si>
    <t>Krabice KR 97 - prázdná + víčko (pod omítku)</t>
  </si>
  <si>
    <t>16.</t>
  </si>
  <si>
    <t>Krabice KO125 + víčko (pod omítku)</t>
  </si>
  <si>
    <t>17.</t>
  </si>
  <si>
    <t>Krabice IP54, nástěnná, šedá, malá 100x100x61mm</t>
  </si>
  <si>
    <t>18.</t>
  </si>
  <si>
    <t>Krabice IP54, nástěnná, šedá, malá 140x140x70mm</t>
  </si>
  <si>
    <t>19.</t>
  </si>
  <si>
    <t>Trubka ohebná PVC, prům.25mm (sporák, podlah. krabice aj.)</t>
  </si>
  <si>
    <t>20.</t>
  </si>
  <si>
    <t>Trubka korudovaná 40/32 (prostup v podlaze, zemině, stěnu aj.)</t>
  </si>
  <si>
    <t>21.</t>
  </si>
  <si>
    <t>Trubka korudovaná 63/52 (HDV, prostup do rozvaděče, stěnu, podlahu)</t>
  </si>
  <si>
    <t>22.</t>
  </si>
  <si>
    <t>Lišta vkládací 20x20mm (technická místnost)</t>
  </si>
  <si>
    <t>23.</t>
  </si>
  <si>
    <t>Lišta vkládací 40x40mm (technická místnost)</t>
  </si>
  <si>
    <t>24.</t>
  </si>
  <si>
    <t>Distanční příchytka Zn s požární odolností 10,5-12mm rozteč max.30cm</t>
  </si>
  <si>
    <t>25.</t>
  </si>
  <si>
    <t>Hmoždinky prům.8mm (běžné trasy - zdivo)</t>
  </si>
  <si>
    <t>26.</t>
  </si>
  <si>
    <t>Vruty chromované (běžné trasy - zdivo)</t>
  </si>
  <si>
    <t>27.</t>
  </si>
  <si>
    <t>Svorka lámací 12x4mm2</t>
  </si>
  <si>
    <t>28.</t>
  </si>
  <si>
    <t>Bezšroubová svorka do instal. krabice 5x0,5-2,5mm</t>
  </si>
  <si>
    <t>29.</t>
  </si>
  <si>
    <t>Svorka na potrubí pro OP</t>
  </si>
  <si>
    <t>30.</t>
  </si>
  <si>
    <t>Pásek Cu 30cm pro svorku</t>
  </si>
  <si>
    <t>31.</t>
  </si>
  <si>
    <t>Ekvipotenciální svorkovnice PE-12 pro ochranné místní pospojování v krabici KO125 a IP55</t>
  </si>
  <si>
    <t>32.</t>
  </si>
  <si>
    <t>Protipožární ucpávky - tmely - prostupy požárními úseky</t>
  </si>
  <si>
    <t>33.</t>
  </si>
  <si>
    <t>Super-multifunkční relé 8A/230V do krabice a pod vypínač</t>
  </si>
  <si>
    <t>34.</t>
  </si>
  <si>
    <t>Svazkový ocelový držák pro 15ks kabelů (do podhledu SDK)</t>
  </si>
  <si>
    <t>35.</t>
  </si>
  <si>
    <t>Svazkový ocelový držák pro 30ks kabelů (do podhledu SDK)</t>
  </si>
  <si>
    <t>36.</t>
  </si>
  <si>
    <t xml:space="preserve">Štítek z PVC na označení kabelu </t>
  </si>
  <si>
    <t>37.</t>
  </si>
  <si>
    <t>Stavební hřebíky 100</t>
  </si>
  <si>
    <t>38.</t>
  </si>
  <si>
    <t>Páska izolační PVC 19/30m</t>
  </si>
  <si>
    <t>39.</t>
  </si>
  <si>
    <t>Sádra  (kg)</t>
  </si>
  <si>
    <t xml:space="preserve">Svítidla a světelné zdroje vč. zdrojů </t>
  </si>
  <si>
    <t>A - Přisazené LED svítidlo 14W/1201lm, 3000-4000K, Ra&gt;80, IP66, těleso černý polykarbonát, difuzor opálový polykarbonát</t>
  </si>
  <si>
    <t>B1 - Přisazené LED svítidlo 52,7W/6790lm, 4000K, Ra&gt;80, IP66, těleso světlešedý polykarbonát, difuzor opálový polykarbonát</t>
  </si>
  <si>
    <t>C - Přisazené LED svítidlo 48W/5000lm, 4000K, Ra&gt;80, IP20, těleso barevná ocel, difuzor opálový polykarbonát</t>
  </si>
  <si>
    <t>C1 - Přisazené LED svítidlo 24W/2500lm, 4000K, Ra&gt;80, IP20, těleso barevná ocel, difuzor opálový polykarbonát</t>
  </si>
  <si>
    <t>D - Vestavné LED svítidlo 40W/4400lm, 3000-4000K, Ra&gt;80, IP44/20, těleso bílá ocel, difuzor opálový polykarbonát</t>
  </si>
  <si>
    <t>E - Vestavné LED svítidlo 33,6W/4100lm, 4000K, Ra&gt;80, IP54/20, těleso bílá ocel, difuzor mikro prisma</t>
  </si>
  <si>
    <t>E1 - Vestavné LED svítidlo 39,2W/4800lm, 4000K, Ra&gt;80, IP54/20, těleso bílá ocel, difuzor mikro prisma</t>
  </si>
  <si>
    <t>F - Nástěnné LED svítidlo 15,1W/1815lm, 3000K, Ra&gt;80, IP65, těleso tlakový hliník, těleso polykarbonát</t>
  </si>
  <si>
    <t>N1 - Nouzové stropní/nástěnné LED svítidlo 6,1W, IP40, s piktogramem - svíticí deska, optika - úniková cesta, 3-hodinovým nouz. modulem</t>
  </si>
  <si>
    <t>N2 - Nouzové stropní LED svítidlo 2,5W/200lm, IP20, bez piktogramu, 3-hodinovým nouz. modulem</t>
  </si>
  <si>
    <t>N3 - Nouzové stropní/nástěnné LED svítidlo 3,4W/84lm, IP65, s piktogramem - svíticí deska, optika - úniková cesta, 3-hodinovým nouz. modulem</t>
  </si>
  <si>
    <t>N4 - Nouzové stropní/nástěnné LED svítidlo do mrazu 5W/213lm, IP65, bez piktogramu - svíticí deska, optika - úniková cesta, 1-hodinovým nouz. modulem</t>
  </si>
  <si>
    <t>Poplatek za recyklaci dle zákona - svítidel</t>
  </si>
  <si>
    <t>Vodiče  a  kabely</t>
  </si>
  <si>
    <t>CYKY-O 2(3)x1,5 (vypínače)</t>
  </si>
  <si>
    <t xml:space="preserve">CYKY-J 3x1,5  </t>
  </si>
  <si>
    <t>CYKY-J 3x2,5</t>
  </si>
  <si>
    <t>CYKY-J 5x1,5</t>
  </si>
  <si>
    <t>CYKY-J 5x2,5</t>
  </si>
  <si>
    <t>CYKY-J  5x16</t>
  </si>
  <si>
    <t>H07V (CY) 2,5 (rozvaděč + protah. drát)</t>
  </si>
  <si>
    <t>H07V (CY) 4 (místní pospojování aj.)</t>
  </si>
  <si>
    <t>H07V (CY) 6 (místní pospojování, ochrana před bleskem, aj.)</t>
  </si>
  <si>
    <t xml:space="preserve">H07V (CYA) 16 - (hlavní a místní pospojování) </t>
  </si>
  <si>
    <t>PRAFlaDur-O 2x1,5 P60-R</t>
  </si>
  <si>
    <t>Materiál  pro  hromosvody</t>
  </si>
  <si>
    <t xml:space="preserve">Jímací stožár pro vodič 150kA, šedý plášť v podpůrné trubce s jímací tyčí l=1,0m, celková délka 3640mm (rychlost nárazového větru max. 198km/h, výška jímače nad krytinou (atikou) je 2,50m, podpůrná trubka Al - 40mm připevněna do krovu (zdi) ve dvou místech s roztečí min. 500mm), nerezový pásek, který je vyveden z podpůrné trubky se musí připojit k systému vyrovnání potenciálu (MET) vodičem min. CY6 + vodič 150kA, prům. 19mm v délce 10,5m, uložen pod omítkou + připojovací sada k jímačí JT25 a zkušební svorce SZ </t>
  </si>
  <si>
    <t xml:space="preserve">Jímací stožár pro vodič 150kA, šedý plášť v podpůrné trubce s jímací tyčí l=1,0m, celková délka 3640mm (rychlost nárazového větru max. 198km/h, výška jímače nad krytinou (atikou) je 2,50m, podpůrná trubka Al - 40mm připevněna do krovu (zdi) ve dvou místech s roztečí min. 500mm), nerezový pásek, který je vyveden z podpůrné trubky se musí připojit k systému vyrovnání potenciálu (MET) vodičem min. CY6 + vodič 150kA, prům. 19mm v délce 11,25m, uložen pod omítkou + připojovací sada k jímačí JT25 a zkušební svorce SZ </t>
  </si>
  <si>
    <t>Držák na stěnu pro svislou montáž pro upevnění podpůrných trubek prům. 40/50mm, nerez (přesný typ držáku nutno upřesnit!)</t>
  </si>
  <si>
    <t>Podpěra vedení do zdi, nerez, závit M8 h 20/23, Rd 20 pro montáž mimo koncovku vysokonapěťového vodiče</t>
  </si>
  <si>
    <t>Chodníková umělohmotná revizní krabice (197x197x204mm) + zkušební svorka, 15kN, šedá, pro zkušební svorku SZ</t>
  </si>
  <si>
    <t>Svorka zkušební SZ, nerez V2A, Rd 8-10, 200kA</t>
  </si>
  <si>
    <t>Svorka křížová SK1 (kulatina-kulatina) 60x60mm s destičkou, V4A, Rd 8-10/Rd 8-10</t>
  </si>
  <si>
    <t>Svorka křížová SK2 (pásek-pásek) 60x60 mm bez destičky, V4A, Fl 30/Fl 30</t>
  </si>
  <si>
    <t>Svorka křížová SK3 (pásek-kulatina) 60x60 mm s destičkou, V4A, Rd 8-10/Fl 40</t>
  </si>
  <si>
    <t>Pásek Nerez V4A 30x3,5mm</t>
  </si>
  <si>
    <t>Drát Nerez V4A, Rd 10, prům.10mm, 0,62kg/m (m)</t>
  </si>
  <si>
    <t>Označovací štítek Al s vyraženým číslem pro Rd 7-10/Fl 30</t>
  </si>
  <si>
    <t xml:space="preserve">Výstražný štítek Al POZOR (Při bouřce se nezdržujte se na tomto místě) </t>
  </si>
  <si>
    <t>Makadam vrstva 15cm, zrnitost 16-32 v okruhu 3m od svodů - svod č.1,2,6,7</t>
  </si>
  <si>
    <t>Geotextilie 200g/m2 pod a nad makadam v okruhu 3m od svodů (m2)</t>
  </si>
  <si>
    <t>Elektroinstalační materiál celkem bez DPH (silnoproud)</t>
  </si>
  <si>
    <t>II. Montážní práce (C21M - elektromontáže, C22M - montáže sdělovacích zařízení, C36M - měření a regulace, C46M -  zemní práce - výkopy pro kabely, 801-3 - stavební práce - výseky)</t>
  </si>
  <si>
    <t>Montáž rozvaděčové techniky (není-li uvedeno jinak)</t>
  </si>
  <si>
    <t>K</t>
  </si>
  <si>
    <t>Osazení a zapojení vestavného rozvaděče ozn.RB1, vč. ukončení vodičů cca 100ks do 6mm2 + 12ks do 35mm2</t>
  </si>
  <si>
    <t>Osazení a zapojení vestavného rozvaděče ozn.RB2, vč. ukončení vodičů cca 70ks do 6mm2 + 6ks do 35mm2</t>
  </si>
  <si>
    <t>Montáž elektroinstalačního materiálů, el. přístrojů, el. spotřebičů</t>
  </si>
  <si>
    <t>Spínač č.1, IP40, do krabice</t>
  </si>
  <si>
    <t>Přepínač č.5, IP40, do krabice</t>
  </si>
  <si>
    <t>Přepínač č.6, IP40, do krabice</t>
  </si>
  <si>
    <t>Přepínač č.7, IP40, do krabice</t>
  </si>
  <si>
    <t>Přepínač č.6+6, IP40, do krabice</t>
  </si>
  <si>
    <t>Žaluziový spínač č.1/0+1/0 s blokováním, do krabice</t>
  </si>
  <si>
    <t>Spínač automatický se snímačem pohybu, IP44, nástěnný</t>
  </si>
  <si>
    <t xml:space="preserve">Zásuvka 16A/230V, zapuštěná do krabice </t>
  </si>
  <si>
    <t>Zásuvka 16A/230V, zapuštěná do krabice s ochranou proti přepětí</t>
  </si>
  <si>
    <t>Zásuvka do vlhka, 16A/230V, IP44, vestavná</t>
  </si>
  <si>
    <t>Tlačítko T6 pod sklem "v případě požáru a nebezpečí vypni" TOTAL STOP, IP55</t>
  </si>
  <si>
    <t>Krab.přístrojová (prům. 68mm) bez zapojení</t>
  </si>
  <si>
    <t>Krab.odbočná (prům. 68 + víčko) kruh. bez zap.</t>
  </si>
  <si>
    <t>Krabice odbočná (prům. 97) kruhová bez zapojení</t>
  </si>
  <si>
    <t>Krabice KO 125 (110) bez zapojení</t>
  </si>
  <si>
    <t>Trubka ohebná PVC prům.25mm pod omítku</t>
  </si>
  <si>
    <t>Trubka korudovaná 40/32 (prostup do rozvaděče, přes stěnu, podlahu)</t>
  </si>
  <si>
    <t>Trubka korudovaná 63/52 (prostup do rozvaděče, přes stěnu, podlahu)</t>
  </si>
  <si>
    <t>Lišta vkládací 20x20mm</t>
  </si>
  <si>
    <t>Lišta vkládací 40x40mm</t>
  </si>
  <si>
    <t>Distanční příchytka Zn s požární odolností 11-13mm rozteč max.30cm vč.kotvy</t>
  </si>
  <si>
    <t>Hmoždinky prům.8mm včetně vrutu</t>
  </si>
  <si>
    <t>Svorka lámací 12ks 4mm</t>
  </si>
  <si>
    <t>Svorka na potrubí vč. pásku</t>
  </si>
  <si>
    <t>Ochranný spoj pevně 4-25mm (SEBT, CYA aj.)</t>
  </si>
  <si>
    <t>Protipožární ucpávky - tmely - prostupy požárními úseky (m2) - stěny pož. úseků</t>
  </si>
  <si>
    <t>Elektronické vent. relé v krabici a pod vypínač</t>
  </si>
  <si>
    <t>Svazkový ocelový držák pro 15ks a 30ks kabelů</t>
  </si>
  <si>
    <t xml:space="preserve">Montáž kabelového štítku </t>
  </si>
  <si>
    <t>Osazení a připojení el. strojů a spotřebičů  (výtah, sporák, ventilátory, stroje aj.)</t>
  </si>
  <si>
    <t>Montáž svítidel včetně světelných zdrojů</t>
  </si>
  <si>
    <t>LED svítidla ozn. A - N</t>
  </si>
  <si>
    <t>Uložení vodičů a kabelů</t>
  </si>
  <si>
    <t>CYKY-O 3x1,5 (pod omítkou)</t>
  </si>
  <si>
    <t xml:space="preserve">CYKY-J  3x1,5  </t>
  </si>
  <si>
    <t>CYKY-J  3x2,5</t>
  </si>
  <si>
    <t>CYKY-J  5x1,5</t>
  </si>
  <si>
    <t>CYKY-J  5x2,5</t>
  </si>
  <si>
    <t>1-CYKY-J 5x16</t>
  </si>
  <si>
    <t>PRAFlaDur-O 2x1,5 P30-R</t>
  </si>
  <si>
    <t>Montáž materiálu pro hromosvody</t>
  </si>
  <si>
    <t>Jímací stožár pro vodič 150kA, šedý plášť v podpůrné trubce s jímací tyčí l=1,0m, celková délka 3640mm (rychlost nárazového větru max. 198km/h, výška jímače nad krytinou (atikou) je 2,50m, podpůrná trubka Al - 40mm připevněna do krovu (zdi) ve dvou místech s roztečí min. 500mm), nerezový pásek, který je vyveden z podpůrné trubky se musí připojit k systému vyrovnání potenciálu (MET) vodičem min. CY6 + vodič 150kA, prům. 19mm v délce 10,5m, uložen pod omítkou + připojovací sada k jímačí JT25 a zkušební svorce SZ + podpěry vedení</t>
  </si>
  <si>
    <t>Jímací stožár pro vodič 150kA, šedý plášť v podpůrné trubce s jímací tyčí l=1,0m, celková délka 3640mm (rychlost nárazového větru max. 198km/h, výška jímače nad krytinou (atikou) je 2,50m, podpůrná trubka Al - 40mm připevněna do krovu (zdi) ve dvou místech s roztečí min. 500mm), nerezový pásek, který je vyveden z podpůrné trubky se musí připojit k systému vyrovnání potenciálu (MET) vodičem min. CY6 + vodič 150kA, prům. 19mm v délce 11,25m, uložen pod omítkou + připojovací sada k jímačí JT25 a zkušební svorce SZ + podpěry vedení</t>
  </si>
  <si>
    <t>Držák podpůrné trubky 40-50mm pro uchycení do krovu/zdi, nerez</t>
  </si>
  <si>
    <t>Svorky do 2 šroubů (SU, SP, SS, SR, SZ)</t>
  </si>
  <si>
    <t>Svorky nad 2 šrouby (ST, SJ, SK, SO)</t>
  </si>
  <si>
    <t>Drát Nerez prům. 10mm bez podpěr v zemi</t>
  </si>
  <si>
    <t>Označovací a výstražný štítek</t>
  </si>
  <si>
    <t>Nátěr spojů v zemi (antikorozní ochrana)</t>
  </si>
  <si>
    <t>Zednické a zemní práce + materiál</t>
  </si>
  <si>
    <t>Sekání (vrtání) kapes 10x10x5  cihla</t>
  </si>
  <si>
    <t xml:space="preserve">Sekání (vrtání) kapes 15x15x10  </t>
  </si>
  <si>
    <t>Řezání  rýh  3x3 cihla</t>
  </si>
  <si>
    <t>Řezání  rýh  5x3 cihla</t>
  </si>
  <si>
    <t>Řezání  rýh  7x5 cihla</t>
  </si>
  <si>
    <t>Sekání  rýh  15x5 cihla</t>
  </si>
  <si>
    <t>Průraz  zdí  15cm  beton</t>
  </si>
  <si>
    <t>Průraz  zdí  30cm  beton</t>
  </si>
  <si>
    <t>Průraz stropem beton (silnoproud)</t>
  </si>
  <si>
    <t>Vysekání (vyřezání) otvoru 1,0m2, do tl.300mm, cihla malt. cem. (ozn. RB1)</t>
  </si>
  <si>
    <t>Vysekání (vyřezání) otvoru 0,85m2, do tl.300mm, cihla malt. cem. (ozn. RB1)</t>
  </si>
  <si>
    <t>Vnitrostaveništní doprava suti a vybouraných hmot pro budovy v do 9 m ručně</t>
  </si>
  <si>
    <t>Odvoz suti a vybouraných hmot na skládku nebo meziskládku do 10 km od místa stavby se složením</t>
  </si>
  <si>
    <t>Poplatek za uložení stavebního odpadu na skládce (skládkovné) směsného stavebního a demoličního</t>
  </si>
  <si>
    <t>Lešení pomocné pro objekty pozemních staveb s lešeňovou podlahou v do 1,9 m zatížení do 150 kg/m2 (pro demontáže a montáže) pro 1.NP</t>
  </si>
  <si>
    <t>Výkop zeminy v okruhu 3m od svodů v tloušťce 25cm, tř.3 v terénu - dle popisu</t>
  </si>
  <si>
    <t>Podkladová vrstva ze štěrku tl.15cm v okruhu 3m od svodů (m2)</t>
  </si>
  <si>
    <t>Provizorní úprava terénu zemina tř.4 v okolí svodu</t>
  </si>
  <si>
    <t>Hutnění zeminy a štěrku po vrstvách max. 200 mm</t>
  </si>
  <si>
    <t>Uložení zeminy na skládku (m3)</t>
  </si>
  <si>
    <t>Hodinové zúčtovací sazby</t>
  </si>
  <si>
    <t>Příprava staveniště</t>
  </si>
  <si>
    <t>h</t>
  </si>
  <si>
    <t>Vyměřování svítidel, zásuvek, spínačů, kab. tras, aj.</t>
  </si>
  <si>
    <t>Demontáž st. elektroinstalace, vyhledání stáv. instalace aj.</t>
  </si>
  <si>
    <t>Spolupráce s revizním technikem</t>
  </si>
  <si>
    <t>Výchozí revize včetně revizní zprávy (hromosvod + elektroinstalace)</t>
  </si>
  <si>
    <t>Výkresová dokumentace skutečného provedení stavby, půdorysy + rozvaděče (h)</t>
  </si>
  <si>
    <t>Koordinační činnost s ostatními profesemi</t>
  </si>
  <si>
    <t>Komplexní přezkoušení - oživení</t>
  </si>
  <si>
    <t xml:space="preserve">Plošina (montáž svodů LPS, svítidel aj.) - pronájem (dny) </t>
  </si>
  <si>
    <t>den</t>
  </si>
  <si>
    <t>Montáž celkem bez DPH (silnoproud)</t>
  </si>
  <si>
    <t>Pozn.: Výkop pro zemní pásek v rozpočtu stavby.</t>
  </si>
  <si>
    <t>NAZEV</t>
  </si>
  <si>
    <t xml:space="preserve">OBJEKTU : </t>
  </si>
  <si>
    <t>DEŠŤOVÁ KANALIZACE</t>
  </si>
  <si>
    <t>REG</t>
  </si>
  <si>
    <t>.C.STAVBY</t>
  </si>
  <si>
    <t>: LIPSK-ID</t>
  </si>
  <si>
    <t xml:space="preserve">STAVBY  : </t>
  </si>
  <si>
    <t>REKONSTRUKCE OBJEKTU SKOLKA KYLESOVICE</t>
  </si>
  <si>
    <t>ZAK</t>
  </si>
  <si>
    <t>.C.OBJ.</t>
  </si>
  <si>
    <t>: 606262761</t>
  </si>
  <si>
    <t>CEN CEN. POLOZKY</t>
  </si>
  <si>
    <t>Z K R A C E N Y  P O P I S</t>
  </si>
  <si>
    <t>M.J.</t>
  </si>
  <si>
    <t>MNOZSTVI</t>
  </si>
  <si>
    <t>JEDNOTK. CENA</t>
  </si>
  <si>
    <t>MONTAZ CENA</t>
  </si>
  <si>
    <t>DODAVKA CENA</t>
  </si>
  <si>
    <t>JEDNOTK. HMOT v T</t>
  </si>
  <si>
    <t>CELKEM HMOT v T</t>
  </si>
  <si>
    <t>1 ZEMNI PRACE</t>
  </si>
  <si>
    <t>001 A01 130001103</t>
  </si>
  <si>
    <t>VYTYCENI ING.SITI</t>
  </si>
  <si>
    <t>SADA</t>
  </si>
  <si>
    <t>001 A01 132201201</t>
  </si>
  <si>
    <t>HLB RYH 2000MM TR. 3 100M3</t>
  </si>
  <si>
    <t>M3</t>
  </si>
  <si>
    <t>001 A01 132201202</t>
  </si>
  <si>
    <t>PRIPLATEK  ZA RUCNI VYKOP</t>
  </si>
  <si>
    <t>001 A01 132201204</t>
  </si>
  <si>
    <t>PRIPLATEK ZA LEPIVOST</t>
  </si>
  <si>
    <t>001 A01 132201208</t>
  </si>
  <si>
    <t>ZAJISTENI ING SITI VE VYKOPU</t>
  </si>
  <si>
    <t>KUS</t>
  </si>
  <si>
    <t>001 A01 151101098</t>
  </si>
  <si>
    <t>ZAJISTENI VYKOPU PROTI PADU OCELOVÉ SLOUPKY PE PÁSKA</t>
  </si>
  <si>
    <t>0.20000</t>
  </si>
  <si>
    <t>001 A01 175101102</t>
  </si>
  <si>
    <t>OBSYP VYKOPKEM PROSATYM do 63mm</t>
  </si>
  <si>
    <t>0.02000</t>
  </si>
  <si>
    <t>001 A01 175101104</t>
  </si>
  <si>
    <t>ZASYP VYKOPKEM s HUTNENIM</t>
  </si>
  <si>
    <t>7,68</t>
  </si>
  <si>
    <t>ZEMNÍ PRACE CELKEM</t>
  </si>
  <si>
    <t>4 VODOROVNE KONSTRUKCE</t>
  </si>
  <si>
    <t>271 A01 451573110</t>
  </si>
  <si>
    <t>LOZE VYKOPU Z PISKU</t>
  </si>
  <si>
    <t>1.89077</t>
  </si>
  <si>
    <t>VODOROVNE KONSTRUKCE CELKEM</t>
  </si>
  <si>
    <t>8 TRUBNI VEDENI</t>
  </si>
  <si>
    <t>271 A03 871353111</t>
  </si>
  <si>
    <t>NAPOJ NA STAV.SACHTU   TVAROVKOU -REDUKCÍ DN150/125</t>
  </si>
  <si>
    <t>0.02500</t>
  </si>
  <si>
    <t>271 A03 871353121</t>
  </si>
  <si>
    <t>MONTAZ POTRUBI PVC DN125</t>
  </si>
  <si>
    <t>0.00100</t>
  </si>
  <si>
    <t>271 A03 CENA01</t>
  </si>
  <si>
    <t>POTR. PVC DN125/SN4</t>
  </si>
  <si>
    <t>0.01000</t>
  </si>
  <si>
    <t>271 A03 871353122</t>
  </si>
  <si>
    <t>MONTAZ TVAROVEK PVC DN125</t>
  </si>
  <si>
    <t>TVAROVKY PVC DN125/KOLENA,ODBOCKY</t>
  </si>
  <si>
    <t>271 A03 CENA02</t>
  </si>
  <si>
    <t>LAPAČ SPLAVENIN DN100 KLOUBOVY PLASTOVÝ</t>
  </si>
  <si>
    <t>8.TRUBNI VEDENI CELKEM</t>
  </si>
  <si>
    <t xml:space="preserve">9 OSTATNI KONSTRUKCE A PRACE </t>
  </si>
  <si>
    <t>211 A01 992124104</t>
  </si>
  <si>
    <t>ZPETNA POVRCH UPRAVA YATRAVNENI</t>
  </si>
  <si>
    <t>M2</t>
  </si>
  <si>
    <t>2.50000</t>
  </si>
  <si>
    <t>211 A01 992124105</t>
  </si>
  <si>
    <t>ODVOZ+ULOZ.VYTL.ZEMINY-SKLADKA 20km  s AUTORIZACÍ</t>
  </si>
  <si>
    <t>1.20000</t>
  </si>
  <si>
    <t>211 A01 992124111</t>
  </si>
  <si>
    <t>ZKOUSKY PROVOZNI A TESNOSTI KANALIZACE</t>
  </si>
  <si>
    <t>0.00334</t>
  </si>
  <si>
    <t>211 A01 992124113</t>
  </si>
  <si>
    <t>ZAMERENI DESTOVE KANALIZACE</t>
  </si>
  <si>
    <t>271 A01 998276101</t>
  </si>
  <si>
    <t>PRES HMOT TR PLAST OV</t>
  </si>
  <si>
    <t>T</t>
  </si>
  <si>
    <t>OSTATNI KONSTRUKCE A PRACE  CELKEM</t>
  </si>
  <si>
    <t>HLAVNÍ STAVEBNÍ  VÝROBA CELKEM</t>
  </si>
  <si>
    <t>BEZ DPH</t>
  </si>
  <si>
    <t>VYTÁPĚNÍ</t>
  </si>
  <si>
    <t>: LIPSK-UT</t>
  </si>
  <si>
    <t>REKONSTRUKCE BUDOVY SKOLKA KYLESOVICE</t>
  </si>
  <si>
    <t>: 606 262761</t>
  </si>
  <si>
    <t>CIS.</t>
  </si>
  <si>
    <t>JEDNOTK. HMOT V T</t>
  </si>
  <si>
    <t>CELKEM HMOT V T</t>
  </si>
  <si>
    <t>CENIK</t>
  </si>
  <si>
    <t xml:space="preserve">731 800-731 </t>
  </si>
  <si>
    <t>USTŘEDNI VYTAPENI</t>
  </si>
  <si>
    <t xml:space="preserve"> OBOR 733</t>
  </si>
  <si>
    <t>POTRUBI USTREDNIHO VYTAPENI</t>
  </si>
  <si>
    <t>731 A03 733111275</t>
  </si>
  <si>
    <t>VYPUSTENI OTOPNE VETVE</t>
  </si>
  <si>
    <t>HR</t>
  </si>
  <si>
    <t>731 A03 733111276</t>
  </si>
  <si>
    <t>ODSTAVENI TOPNE VETVE V KOORDINACI S PROVOZOVATELEM PŘEDÁVACÍ STANICE</t>
  </si>
  <si>
    <t>731 A03 733111277</t>
  </si>
  <si>
    <t>DEMONT. TOPNE VETVE-POTRUBI OCEL DN15-32=240m+TELES LT.ČLÁNKOVÝCH HMOTNOST DO 150kg-25ks  S ULOŽENÍM NA SKLÁDCE STAVBY DO 50m,DLE POŽADAVKŮ INVESTORA</t>
  </si>
  <si>
    <t>731 A03 733111291</t>
  </si>
  <si>
    <t>OTVORY DN50-PRES STENY</t>
  </si>
  <si>
    <t>PAR</t>
  </si>
  <si>
    <t>731 A03 733111292</t>
  </si>
  <si>
    <t>POMOCNE KC POZIN.-VEDENI POTR STROPEM A PO ZDECH</t>
  </si>
  <si>
    <t>KG</t>
  </si>
  <si>
    <t>731 A03 733111303</t>
  </si>
  <si>
    <t>POTR Cu d15 PAJENE/VAR. LISOVANE</t>
  </si>
  <si>
    <t>731 A03 733111304</t>
  </si>
  <si>
    <t>POTR Cu d18 PAJENE/VAR. LISOVANE</t>
  </si>
  <si>
    <t>731 A03 733111305</t>
  </si>
  <si>
    <t>POTR Cu d22 PAJENE/VAR. LISOVANE</t>
  </si>
  <si>
    <t>731 A03 733111306</t>
  </si>
  <si>
    <t>POTR Cu d28 PAJENE/VAR. LISOVANE</t>
  </si>
  <si>
    <t>731 A03 733111319</t>
  </si>
  <si>
    <t>PO UCPAVKY EI15 PROd28+STITEK</t>
  </si>
  <si>
    <t>731 A03 733111323</t>
  </si>
  <si>
    <t>MONT.IZOLACE POTRUBI-SPOJ HACKY</t>
  </si>
  <si>
    <t>731 A03 CENA00</t>
  </si>
  <si>
    <t>IZOLACE NAVLEKOVA 15/9 -LAMBDA IZOLACE 0,036</t>
  </si>
  <si>
    <t>731 A03 CENA01</t>
  </si>
  <si>
    <t>IZOLACE NAVLEKOVA 18/9 -LAMBDA IZOLACE 0,036</t>
  </si>
  <si>
    <t>731 A03 CENA02</t>
  </si>
  <si>
    <t>IZOLACE NAVLEKOVA 22/9 -LAMBDA IZOLACE 0,036</t>
  </si>
  <si>
    <t>731 A03 CENA03</t>
  </si>
  <si>
    <t>IZOLACE NAVLEKOVA 28/20 -LAMBDA IZOLACE 0,036</t>
  </si>
  <si>
    <t>731 A03 733123127</t>
  </si>
  <si>
    <t>PRIPOJ POTR Cu d15 PRO TELESA</t>
  </si>
  <si>
    <t>731 A03 733190908</t>
  </si>
  <si>
    <t>TLAK ZKOUSKA POTRUBI do DN 50</t>
  </si>
  <si>
    <t>731 A03 998733103</t>
  </si>
  <si>
    <t>POTRUBI PRESUN HMOT VYSKA -6M</t>
  </si>
  <si>
    <t xml:space="preserve"> OBOR 733 </t>
  </si>
  <si>
    <t>POTRUBI USTREDNIHO VYTAPENI CELKEM</t>
  </si>
  <si>
    <t xml:space="preserve"> OBOR 734</t>
  </si>
  <si>
    <t>ARMATURY USTREDNIHO VYTAPENI</t>
  </si>
  <si>
    <t>731 A04 734149114</t>
  </si>
  <si>
    <t>MONT+DOD RV+RS ½ (ROHOVÝ REGULAČNÍ VENTIL, ROHOVÝ REGULAČNÍ ŠROUBENÍ S VYPOUŠTĚNÍM)</t>
  </si>
  <si>
    <t>731 A04 734149122</t>
  </si>
  <si>
    <t>TERMOHLAVICE 15-35C</t>
  </si>
  <si>
    <t>731 A04 734181142</t>
  </si>
  <si>
    <t>VYP.KOHOUT 1/2</t>
  </si>
  <si>
    <t>731 A04 734181143</t>
  </si>
  <si>
    <t>R.V. DN20-REGULACNI PRO VĚTEV 1+2.NP</t>
  </si>
  <si>
    <t>731 A04 734181144</t>
  </si>
  <si>
    <t>KK DN20</t>
  </si>
  <si>
    <t>731 A04 734181145</t>
  </si>
  <si>
    <t>KK DN25</t>
  </si>
  <si>
    <t>731 A04 734181146</t>
  </si>
  <si>
    <t>OV DN50+AUT.OV1/2</t>
  </si>
  <si>
    <t>731 A04 734181151</t>
  </si>
  <si>
    <t>OSOVY NEREZ.KOMPENZATOR d18/50mm</t>
  </si>
  <si>
    <t>731 A04 734181152</t>
  </si>
  <si>
    <t>OSOVY NEREZ.KOMPENZATOR d20/50mm</t>
  </si>
  <si>
    <t>731 A04 734181155</t>
  </si>
  <si>
    <t>MERIC TEPLA+MONT. SADA=MĚŘIČ TEPLA ULTRAZVUKOVÝ DN20 nominální průtok 2,5m3/h +MONTÁŽNÍ SADA(UK S ČIDLEM,FILTR, 2*KK20</t>
  </si>
  <si>
    <t>731 A04 998734103</t>
  </si>
  <si>
    <t>ARMATURY PRESUN HMOT VYSKA -6M</t>
  </si>
  <si>
    <t>OBOR 734 ARMAT</t>
  </si>
  <si>
    <t>ARMATURY USTREDNIHO VYTAPENI CELKEM</t>
  </si>
  <si>
    <t xml:space="preserve"> OBOR 735 </t>
  </si>
  <si>
    <t>OTOPNÁ TELESA</t>
  </si>
  <si>
    <t>731 C05 735410910</t>
  </si>
  <si>
    <t>MONTAZ KOUPEL.TELESA+1MALBA</t>
  </si>
  <si>
    <t>731 C05 CENA01</t>
  </si>
  <si>
    <t>KOUPEL.TELESA OCEL BILA 450*700MM</t>
  </si>
  <si>
    <t>731 C05 735410912</t>
  </si>
  <si>
    <t>MONTAZ OTOP.TELESA CLANK.+1MALBA (instalovaná budou litinová článková tělesa,z místa stavby nebo skladu investora,který je ve vzdálenosti 5km od místa stavby)</t>
  </si>
  <si>
    <t>731 C05 CENA02</t>
  </si>
  <si>
    <t>CLANKOVE KALOR 20/600/160 (SESTAVENÍ ZE TŘÍ ČÁSTI,PŘETĚSNĚNÍ,ZÁTKY 4KS,OV VENTILEK,VYPLÁCHNUTÍ,TLAKOVÁ ZKOUŠKA,NÁSTŘIK TĚLES 2*BÍLOU BARVOU</t>
  </si>
  <si>
    <t>731 C05 CENA03</t>
  </si>
  <si>
    <t>CLANKOVE KALOR 14/600/160 (SESTAVENÍ ZE TŘÍ ČÁSTI,PŘETĚSNĚNÍ,ZÁTKY 4KS,OV VENTILEK,VYPLÁCHNUTÍ,TLAKOVÁ ZKOUŠKA,NÁSTŘIK TĚLES 2*BÍLOU BARVOU</t>
  </si>
  <si>
    <t>731 C05 CENA04</t>
  </si>
  <si>
    <t>CLANKOVE KALOR 10/600/160 (SESTAVENÍ ZE DVOU ČÁSTI,PŘETĚSNĚNÍ,ZÁTKY 4KS,OV VENTILEK,VYPLÁCHNUTÍ,TLAKOVÁ ZKOUŠKA,NÁSTŘIK TĚLES 2*BÍLOU BARVOU</t>
  </si>
  <si>
    <t>731 C05 735410913</t>
  </si>
  <si>
    <t>PRESUN TELES+NALOŽENÍ+VYLOŽENÍ, SKLAD VZDÁLEN 5km</t>
  </si>
  <si>
    <t>731 C05 735410918</t>
  </si>
  <si>
    <t>PROPLACH A NAPUSTENI SOUSTAVY</t>
  </si>
  <si>
    <t>731 C05 735410919</t>
  </si>
  <si>
    <t>TLAKOVA ZKOUSKA OTOPNE SOUSTAVY</t>
  </si>
  <si>
    <t>731 C05 735410920</t>
  </si>
  <si>
    <t>TOPNA ZKOUSKA+VYREGULOV.SOUSTAVY</t>
  </si>
  <si>
    <t>731 A05 998735102</t>
  </si>
  <si>
    <t>TOP TELESO PRESUN HMOT VYSKA-6M</t>
  </si>
  <si>
    <t>OTOPNÁ TELESA CELKEM</t>
  </si>
  <si>
    <t>ÚSTŘEDNÍ VYTAPENI CELKEM</t>
  </si>
  <si>
    <t>VZDUCHOTECHNIKA</t>
  </si>
  <si>
    <t>: LIPSK-VZ</t>
  </si>
  <si>
    <t>:</t>
  </si>
  <si>
    <t xml:space="preserve"> OBOR 726</t>
  </si>
  <si>
    <t>721 A06 726090076</t>
  </si>
  <si>
    <t>DEMONTAZ POTRUBI VZT DO 0,04m2++ULOŽENÍ NA SKLÁDCE STAVBY DO 50m</t>
  </si>
  <si>
    <t>721 A06 726090080</t>
  </si>
  <si>
    <t>MONTAZ VZDUCHOTECHNIKY</t>
  </si>
  <si>
    <t>721 A06 726090081</t>
  </si>
  <si>
    <t>SESTAVY VZT2+VZT5</t>
  </si>
  <si>
    <t>721 A06 CENA00</t>
  </si>
  <si>
    <t>VENTILATOR STENOVÝ AXIÁLNÍM VENTILÁ-TOREM ,(230V,30W,180m3/h), S ČASOVAČEM A ZPĚTNOU KLAPKOU</t>
  </si>
  <si>
    <t>721 A06 CENA01</t>
  </si>
  <si>
    <t>VENTILATOR POTRUBNI RADIÁLNÍ (230V,80W,145/280m3/h),</t>
  </si>
  <si>
    <t>721 A06 CENA01A</t>
  </si>
  <si>
    <t>POTRUBNI TLUMIC d125/0.6m</t>
  </si>
  <si>
    <t>721 A06 CENA02</t>
  </si>
  <si>
    <t>POTRUBNI KLAPKA RSK 125</t>
  </si>
  <si>
    <t>721 A06 CENA03</t>
  </si>
  <si>
    <t>STRESNI HLAVICE D150/160+PRUCHODKA</t>
  </si>
  <si>
    <t>721 A06 CENA04</t>
  </si>
  <si>
    <t>POTRUBI  SPIRO D125+TVAROVKY</t>
  </si>
  <si>
    <t>721 A06 CENA05</t>
  </si>
  <si>
    <t>POTRUBI  SPIRO D150+TVAROVKY</t>
  </si>
  <si>
    <t>721 A06 CENA06</t>
  </si>
  <si>
    <t>PATNI T KUS 150/125+NAPOJ NA KANÁL</t>
  </si>
  <si>
    <t>721 A06 CENA07</t>
  </si>
  <si>
    <t>FASADNI KLAPKZ DN125</t>
  </si>
  <si>
    <t>721 A06 726090083</t>
  </si>
  <si>
    <t>SESTAVA VZT3+4</t>
  </si>
  <si>
    <t>POTRUBNI VENTILATOR 500M3/H,230V</t>
  </si>
  <si>
    <t>POTRUBNI TLIMIC d150/0.6m</t>
  </si>
  <si>
    <t>POTRUBNI KLAPKA RSK 150</t>
  </si>
  <si>
    <t>FASADNI KLAPKA D150 SKLOPNE LISTY</t>
  </si>
  <si>
    <t>POTRUBI SPIRO d150+TVAROVKY</t>
  </si>
  <si>
    <t>ODTAH. VENTIL 125+RAMECEK BILY</t>
  </si>
  <si>
    <t>721 A06 CENA08</t>
  </si>
  <si>
    <t>ODTAHOVÁ DIGESTOŘ S RADIÁLNÍM VENTILÁTOREM,(230V,230W,647m3/h),+ ZÁKRYT NEREZ S POLODRÁŽKOU 600*1500mm+ZPĚTNÁ KLAPKA d160</t>
  </si>
  <si>
    <t>721 A06 CENA 09</t>
  </si>
  <si>
    <t>ODTAHOVÁ DIGESTOŘ S RADIÁLNÍM VENTILÁTOREM,(230V,230W,647m3/h),+ ZÁKRYT NEREZ S POLODRÁŽKOU 800*2000mm+ZPĚTNÁ KLAPKA d160</t>
  </si>
  <si>
    <t>721 A06 726090090</t>
  </si>
  <si>
    <t>SESTAVA VZT1</t>
  </si>
  <si>
    <t>ODTAH/PRIVOD VENTIL D150+RAMECEK</t>
  </si>
  <si>
    <t>POTR.KRUH.POZIN. d200+TVAROVKY</t>
  </si>
  <si>
    <t>POTR.PRUZNE ALUFLEX HYGIENIC 203</t>
  </si>
  <si>
    <t>POTRUBNI TLUMIC D200/1.0m</t>
  </si>
  <si>
    <t>POTRUBNI ROZDELOVAC DL.0,8m VSTUP d200,VÝSTUP 2*d200mm</t>
  </si>
  <si>
    <t>721 A06 CENA05A</t>
  </si>
  <si>
    <t>ZÓNOVE EL.KLAPKY D200 PO DISTRIBUČNÍCH VĚTVÍ,OVLADANÍ BUDE V RÁMCI JEDNOTKY VZT</t>
  </si>
  <si>
    <t>FASADNI ELEKTROKLAPKA LISTY</t>
  </si>
  <si>
    <t xml:space="preserve"> JEDNOTKA VZT REKUPERAČNÍ JEDNOTKA (výkon při 0 Pa 650m3/hod)  vestavěný elektroohřívač 1,67kW,ventilátory 2*170W,230V přívodní filtr ePM1 60%,odvodní filtr ePM10 50%,rotační  rekuperátor</t>
  </si>
  <si>
    <t>MODUL RELE 1*RELE 24/230V</t>
  </si>
  <si>
    <t>721 A06 CENA09</t>
  </si>
  <si>
    <t>CIDLO  CO2</t>
  </si>
  <si>
    <t>721 A06 CENA10</t>
  </si>
  <si>
    <t>PROPOJ KABEL CIDLO /JEDNOTKA VZT</t>
  </si>
  <si>
    <t>721 A06 726090092</t>
  </si>
  <si>
    <t>MOBIL.LESENI PRO VZT / do v.1.5m</t>
  </si>
  <si>
    <t>721 A06 726120000</t>
  </si>
  <si>
    <t>SPOJOVACI A MONTAZNI PRVKY VZT</t>
  </si>
  <si>
    <t>721 A06 726120001</t>
  </si>
  <si>
    <t>MATERIAL KOTVICI,ZAVESY POTRUBI</t>
  </si>
  <si>
    <t>721 A06 726120002</t>
  </si>
  <si>
    <t>ELEKTRO NENI SOUCASTI</t>
  </si>
  <si>
    <t>721 A06 726120005</t>
  </si>
  <si>
    <t>POTRUBI TL.30MM PRO VZT 2+3+4+5</t>
  </si>
  <si>
    <t>721 A06 726120006</t>
  </si>
  <si>
    <t>POTRUBI TL.60MM PRO VZT 1</t>
  </si>
  <si>
    <t>721 A06 726120122</t>
  </si>
  <si>
    <t>STAVEBNI VYPOMOC OTVORY+TESNENI</t>
  </si>
  <si>
    <t>721 A06 726120124</t>
  </si>
  <si>
    <t>SERIZENI,SPUSTENI,ZASKOLENI VZT</t>
  </si>
  <si>
    <t>721 A06 998726101</t>
  </si>
  <si>
    <t>VZDUCHOTECHNIKA PRESUN HMOT -6m</t>
  </si>
  <si>
    <t>3,08</t>
  </si>
  <si>
    <t>LNY OBOR 726</t>
  </si>
  <si>
    <t>VZDUCHOTECHNIKA CELKEM</t>
  </si>
  <si>
    <t>OBJEKTU : VNITRNI</t>
  </si>
  <si>
    <t>ZDRAVOINSTALACE(KANAL+VODA)</t>
  </si>
  <si>
    <t>: LIPSK-ZT</t>
  </si>
  <si>
    <t>STAVBY  : REKONST</t>
  </si>
  <si>
    <t>RUKCE BUDOVY SKOLKA KYLESOVICE</t>
  </si>
  <si>
    <t>JEDNOTK.</t>
  </si>
  <si>
    <t>MONTAZ</t>
  </si>
  <si>
    <t>DODAVKA</t>
  </si>
  <si>
    <t xml:space="preserve">721 800-721 </t>
  </si>
  <si>
    <t>ZDRAVOTNE TECHNICKE INSTALACE</t>
  </si>
  <si>
    <t xml:space="preserve"> OBOR 721 </t>
  </si>
  <si>
    <t>VNITŘNÍ KANALIZACE</t>
  </si>
  <si>
    <t>721 A01 721171001</t>
  </si>
  <si>
    <t>DEMONT POTRUBI KANALIZACE d50/75/100 PE/LITINA</t>
  </si>
  <si>
    <t>721 A01 721171002</t>
  </si>
  <si>
    <t>DEMONT ZAŘIZOVACÍCH PREDMETŮ</t>
  </si>
  <si>
    <t>721 A01 721171003</t>
  </si>
  <si>
    <t>ULOZENI DEMONTOVANÝCH PRVKŮ NA SKLADKU STAVBY-50m</t>
  </si>
  <si>
    <t>721 A01 721171008</t>
  </si>
  <si>
    <t>PROREZ BETON TL.100mm</t>
  </si>
  <si>
    <t>721 A01 721171009</t>
  </si>
  <si>
    <t>DEMONT BETON</t>
  </si>
  <si>
    <t>3,20</t>
  </si>
  <si>
    <t>721 A01 721171011</t>
  </si>
  <si>
    <t>RYHA PRO LEZATOU V OBJEKTU/s-600m</t>
  </si>
  <si>
    <t>721 A01 721171012</t>
  </si>
  <si>
    <t>PISKOV.LOZE PRO KANAL  0.6*0.3*26M</t>
  </si>
  <si>
    <t>4,70</t>
  </si>
  <si>
    <t>721 A01 721171013</t>
  </si>
  <si>
    <t>HUTNENY ZASYP VYKOPKEM 0.6*0.3*26M</t>
  </si>
  <si>
    <t>721 A01 721171014</t>
  </si>
  <si>
    <t>POTRUBI PVC /KG DN100+TVAROVKY</t>
  </si>
  <si>
    <t>721 A01 721171015</t>
  </si>
  <si>
    <t>POTRUBI PVC /KG DN125+TVAROVKY</t>
  </si>
  <si>
    <t>721 A01 721171016</t>
  </si>
  <si>
    <t>DOPOJE NA STAV. POTRUBI LEŽATÉ KANALIZACE-VLOŽENÍ ODBOČKY</t>
  </si>
  <si>
    <t>721 A01 721171020</t>
  </si>
  <si>
    <t>ODVOZ VYTL.ZEMINY SKLADKA STAVBY DO 50m</t>
  </si>
  <si>
    <t>721 A01 721171107</t>
  </si>
  <si>
    <t>POTR PP  HT ODPADNI D 75X1,8</t>
  </si>
  <si>
    <t>721 A01 721171108</t>
  </si>
  <si>
    <t>POTR PP  HT ODPADNI D 110X2,3</t>
  </si>
  <si>
    <t>721 A01 721171109</t>
  </si>
  <si>
    <t>POTR HT /HT ODPADNI D 125X2.6</t>
  </si>
  <si>
    <t>721 A01 721171114</t>
  </si>
  <si>
    <t>DRAZKY PRO VNITRNI KANALIZACI DO 100CM2</t>
  </si>
  <si>
    <t>721 A01 721171115</t>
  </si>
  <si>
    <t>OTVORY do 170cm2 PRO KANAL</t>
  </si>
  <si>
    <t>721 A01 721173204</t>
  </si>
  <si>
    <t>POTR PP HT PRIPOJOVACI D 40</t>
  </si>
  <si>
    <t>721 A01 721173205</t>
  </si>
  <si>
    <t>POTR PP HT PRIPOJOVACI D 50</t>
  </si>
  <si>
    <t>721 A01 721194104</t>
  </si>
  <si>
    <t>VYVEDENI KANAL VYPUSTEK D 40</t>
  </si>
  <si>
    <t>721 A01 721194105</t>
  </si>
  <si>
    <t>VYVEDENI KANAL VYPUSTEK D 50</t>
  </si>
  <si>
    <t>721 A01 721194109</t>
  </si>
  <si>
    <t>VYVEDENI KANAL VYPUSTEK D 110</t>
  </si>
  <si>
    <t>721 A01 721223414</t>
  </si>
  <si>
    <t>STENOVY ODPAD. VENTIL d40/</t>
  </si>
  <si>
    <t>721 SPC 721273202</t>
  </si>
  <si>
    <t>KOTVICI MAT. PRO KANALIZACI POZINKOVANÝ</t>
  </si>
  <si>
    <t>721 A01 721273216</t>
  </si>
  <si>
    <t>KANAL.HLAVICE 110+PRUCHODKA STRECHOU</t>
  </si>
  <si>
    <t>721 A01 721273217</t>
  </si>
  <si>
    <t>OV KANAL.HLAVICE 110+MRIZ 150*150</t>
  </si>
  <si>
    <t>721 A01 721273218</t>
  </si>
  <si>
    <t>CIS.KUS d110/75+DVIRKA 150*150</t>
  </si>
  <si>
    <t>721 A01 721273220</t>
  </si>
  <si>
    <t>DOPOJENI TECHNOLOGIE VYDEJE  v 1+2.NP</t>
  </si>
  <si>
    <t>721 A01 721273221</t>
  </si>
  <si>
    <t>ZATKY POTRUBI PP 110/75</t>
  </si>
  <si>
    <t>721 A01 721273223</t>
  </si>
  <si>
    <t>POMOCNE LESENI PRO INSTALACI ZTI</t>
  </si>
  <si>
    <t>721 A01 721290112</t>
  </si>
  <si>
    <t>ZKOUSKA TES KANAL VODA+KOUR-DN150</t>
  </si>
  <si>
    <t>721 A01 721290114</t>
  </si>
  <si>
    <t>TESNICI MATER=PENA PUR 750mm</t>
  </si>
  <si>
    <t>721 A01 998721102</t>
  </si>
  <si>
    <t>KANALIZACE PRESUN HMOT VYSKA-6M</t>
  </si>
  <si>
    <t xml:space="preserve"> OBOR 721</t>
  </si>
  <si>
    <t>VNITŘNÍ KANALIZACE CELKEM</t>
  </si>
  <si>
    <t xml:space="preserve">OBOR 722 </t>
  </si>
  <si>
    <t>VNITŘNÍ VODOVOD</t>
  </si>
  <si>
    <t>721 C02 722173722</t>
  </si>
  <si>
    <t>DEMONT POTR.VODOINSTAL+ULOŽENÍ</t>
  </si>
  <si>
    <t>721 C02 722173723</t>
  </si>
  <si>
    <t>ULOZ. NA SKLADCE STAVBY DO 50m</t>
  </si>
  <si>
    <t>721 C02 722173901</t>
  </si>
  <si>
    <t>POTR. POZINK DN25+IZ 9mm</t>
  </si>
  <si>
    <t>721 C02 722173902</t>
  </si>
  <si>
    <t>POTR. POZINK DN32+IZ 9mm</t>
  </si>
  <si>
    <t>721 C02 722173903</t>
  </si>
  <si>
    <t>DOPOJ V 1.PP NA VODOPR-T KUS+UK32</t>
  </si>
  <si>
    <t>721 C02 722173904</t>
  </si>
  <si>
    <t>ODDELOVACI CLEN  DN32 PRO ROZVOD</t>
  </si>
  <si>
    <t>721 C02 722173905</t>
  </si>
  <si>
    <t>HYDRANT SKRIN S VÝSTROJÍ PRO INSTALACI NA ZEĎ ,HADICE 30m</t>
  </si>
  <si>
    <t>721 C02 722173906</t>
  </si>
  <si>
    <t>REVIZE PO ROZVODU 26m+2*HYDRANT</t>
  </si>
  <si>
    <t>721 C02 722173912</t>
  </si>
  <si>
    <t>POTR PLASTOVE PN20 d20</t>
  </si>
  <si>
    <t>721 C02 722173913</t>
  </si>
  <si>
    <t>POTR PLASTOVE PN20 d25</t>
  </si>
  <si>
    <t>721 C02 722173914</t>
  </si>
  <si>
    <t>POTR PLASTOVE PN20 d32</t>
  </si>
  <si>
    <t>721 C02 722173916</t>
  </si>
  <si>
    <t>DOPOJ NA ROZVOD UK s VK D20-CIRK</t>
  </si>
  <si>
    <t>721 C02 722173918</t>
  </si>
  <si>
    <t>DOPOJ NA ROZVOD UK s VK D32-ST+TV</t>
  </si>
  <si>
    <t>721 C02 722173919</t>
  </si>
  <si>
    <t>KOTVICI+ZAVES.OBJIMKY s PRYZI</t>
  </si>
  <si>
    <t>721 C02 722173920</t>
  </si>
  <si>
    <t>POZINK.ZLAB DRÁTENY 250*50 PRO VODOINSTALACI</t>
  </si>
  <si>
    <t>721 A02 722181111</t>
  </si>
  <si>
    <t>POTRUBNI IZOLACE TL.9-15mm/d20-32 LAMBDA 0,036</t>
  </si>
  <si>
    <t>721 A02 722190021</t>
  </si>
  <si>
    <t>NASTENKA PRO G 1/2</t>
  </si>
  <si>
    <t>721 A02 722190022</t>
  </si>
  <si>
    <t>NASTENKA PRO G 1</t>
  </si>
  <si>
    <t>721 A02 722239112</t>
  </si>
  <si>
    <t>UK 20 s VK PLAST</t>
  </si>
  <si>
    <t>721 A02 722239113</t>
  </si>
  <si>
    <t>UK 25 s VK PLAST</t>
  </si>
  <si>
    <t>721 A02 722239114</t>
  </si>
  <si>
    <t>UK 32 s VK PLAST</t>
  </si>
  <si>
    <t>721 A02 722239118</t>
  </si>
  <si>
    <t>R.V.1/2 SE ZPET. KLAPKOU/PR+MY/</t>
  </si>
  <si>
    <t>721 A02 722239120</t>
  </si>
  <si>
    <t>POJIST.SOUPRAVA DN 15 PRO TUV (UK+Z.V.P.V, TL.)</t>
  </si>
  <si>
    <t>721 A01 722290224</t>
  </si>
  <si>
    <t>721 A02 722290225</t>
  </si>
  <si>
    <t>STAVEB.POMOC-DRAZKY/STENA/PODLAHA DO 70CM2</t>
  </si>
  <si>
    <t>721 A02 722290226</t>
  </si>
  <si>
    <t>STAVEB.POMOC-OTVORY/STENA/STROPY DO 70cm2</t>
  </si>
  <si>
    <t>721 A02 722290227</t>
  </si>
  <si>
    <t>UCPAVKY IE 15+STITEK VODOINSTALACE d20/35</t>
  </si>
  <si>
    <t>721 A02 722290228</t>
  </si>
  <si>
    <t>VODOMER 1.5m3/H+2*KK DN15 PRO TUV</t>
  </si>
  <si>
    <t>721 A02 722290229</t>
  </si>
  <si>
    <t>VODOMER 4.5m3/H+2*KK DN25 PRO STV</t>
  </si>
  <si>
    <t>721 A02 722290231</t>
  </si>
  <si>
    <t>ZKOUSKA TLAK POTRUBI PLAST -DN50</t>
  </si>
  <si>
    <t>721 A02 722290234</t>
  </si>
  <si>
    <t>PROPLACH A DEZINFEKCE -DN 80</t>
  </si>
  <si>
    <t>721 A02 722290240</t>
  </si>
  <si>
    <t>ORIENT.STITKY VODOINSTALACE OBJEKTU VELIKOST PÍSMA MIN. 15Mm</t>
  </si>
  <si>
    <t>721 A02 998722102</t>
  </si>
  <si>
    <t>VODOVOD PRESUN HMOT VYSKA -6M</t>
  </si>
  <si>
    <t>VNITŘNÍ VODOVOD CELKEM</t>
  </si>
  <si>
    <t xml:space="preserve"> OBOR 725 </t>
  </si>
  <si>
    <t>ZAŘIZOVACI PREDMETY ZTI</t>
  </si>
  <si>
    <t>721 A05 725119305</t>
  </si>
  <si>
    <t>MTZ ZAVES.KLOZETU+NADRZKY+VYLEVKY</t>
  </si>
  <si>
    <t>721 A05 CENA01</t>
  </si>
  <si>
    <t>NADRZKA ZAVES+RAM+OVLAD.TLACITKO</t>
  </si>
  <si>
    <t>721 A05 CENA02</t>
  </si>
  <si>
    <t>ZAVES.WC BILE/HL.500mm+SEDATKO</t>
  </si>
  <si>
    <t>721 A05 CENA03</t>
  </si>
  <si>
    <t>ZAVES.WC BILE/DETSKE+SEDATKO</t>
  </si>
  <si>
    <t>721 A05 CENA04</t>
  </si>
  <si>
    <t>VYLEVKA ZAVES.ZADNI odp+PLAST.MRIŽ</t>
  </si>
  <si>
    <t>721 A05 CENA05</t>
  </si>
  <si>
    <t>MEZISTENA PR  WC DĚTSKÉ</t>
  </si>
  <si>
    <t>721 A05 725119350</t>
  </si>
  <si>
    <t>OHRIVAC TUV 10L-PRO DOHREV NA 55C,230V,2,0,kW U VÝDEJE STRAVY</t>
  </si>
  <si>
    <t>721 A05 725119353</t>
  </si>
  <si>
    <t>SMES. VENTIL PRO TUV-VÝSTUP 35c+3*UK20</t>
  </si>
  <si>
    <t>721 A05 725219402</t>
  </si>
  <si>
    <t>MONTAZ UMYVADEL NA KONZOLY/DESKY</t>
  </si>
  <si>
    <t>UM1 BILE 450*370+PLASTOV ODPAD d40</t>
  </si>
  <si>
    <t>UM  BILE 550*450+PLAST.ODPAD40</t>
  </si>
  <si>
    <t>721 A05 725319110</t>
  </si>
  <si>
    <t>SPRCH.KOUT 900*900 SAMONOSNÝ s PE NOSIČEM VANIČKY+ZASTENA 4mm bezpečnostní sklo MATT,BÍLÉ LIŠTY</t>
  </si>
  <si>
    <t>721 A05 725829201</t>
  </si>
  <si>
    <t>MTZ BATERII NASTEN+STOJ</t>
  </si>
  <si>
    <t>UM=STOJ.BA.PAK.OTOC.170mm+2*RV1/2</t>
  </si>
  <si>
    <t>VY=STENOVA PAK.+SPRCHA+DRZAK/KOV</t>
  </si>
  <si>
    <t>SP=NASTENA+PEV.RAMENO+RUZICE d80</t>
  </si>
  <si>
    <t>721 A05 725829209</t>
  </si>
  <si>
    <t>MTZ VENTILU NASTEN</t>
  </si>
  <si>
    <t>VENTIL STENOVY PAKOVY 1/2"</t>
  </si>
  <si>
    <t>721 A05 725829212</t>
  </si>
  <si>
    <t>KOORDINACE PRI INSTALACI VYDEJE V 1+2.NP</t>
  </si>
  <si>
    <t>721 A05 998725101</t>
  </si>
  <si>
    <t>ZARIZ PREDMETY PRESUN HMOT V-6M</t>
  </si>
  <si>
    <t>2,13</t>
  </si>
  <si>
    <t>OBOR 725</t>
  </si>
  <si>
    <t>ZAŘIZOVACI PREDMETY ZTI CELKEM</t>
  </si>
  <si>
    <t>ZDRAVOTNE TECHNICKE INSTALACE CELKEM</t>
  </si>
  <si>
    <t>příloha č. 1</t>
  </si>
  <si>
    <t>VÝKAZ VÝMĚR</t>
  </si>
  <si>
    <t>Mateřská škola Liptovská - rekonstrukce</t>
  </si>
  <si>
    <t>Liptovská 1045/21,  Opava - Kylešovice</t>
  </si>
  <si>
    <t>Slaboproudé Systémy</t>
  </si>
  <si>
    <t>kód 
položky</t>
  </si>
  <si>
    <t>název položky</t>
  </si>
  <si>
    <t>množ.</t>
  </si>
  <si>
    <t>cena 
/ jedn.</t>
  </si>
  <si>
    <t>celkem</t>
  </si>
  <si>
    <t>ceník</t>
  </si>
  <si>
    <t>typ
položky</t>
  </si>
  <si>
    <t>MATERIÁL :</t>
  </si>
  <si>
    <t>Strukturovaná Kabeláž</t>
  </si>
  <si>
    <t>rozvaděč datový, nástěnný, 600 x 500 mm / 18U</t>
  </si>
  <si>
    <t>VO</t>
  </si>
  <si>
    <t>vlastní</t>
  </si>
  <si>
    <t>patch panel  24 x RJ45 cat 5e</t>
  </si>
  <si>
    <t>patch panel  12 x RJ45 cat 5e</t>
  </si>
  <si>
    <t>panel vyvazovací</t>
  </si>
  <si>
    <t>napájecí panel  6 x 230V</t>
  </si>
  <si>
    <t>polička 350 mm</t>
  </si>
  <si>
    <t>zásuvka 2 x RJ45 cat 5e</t>
  </si>
  <si>
    <t>zásuvka 1 x RJ45 cat 5e</t>
  </si>
  <si>
    <t>patch kabel UTP – 05</t>
  </si>
  <si>
    <t>patch kabel UTP – 1</t>
  </si>
  <si>
    <t>kabel UTP 4 x 2 x 0,5 cat 5e</t>
  </si>
  <si>
    <t>kabel optický 50/125, multimód, 4 vlákna</t>
  </si>
  <si>
    <t>kabel CYKY 3 x 1,5</t>
  </si>
  <si>
    <t>zásuvka 2 x 230V, povrchová montáž</t>
  </si>
  <si>
    <t>UAP přístupový bod wifi 6,   5/ 2,4 GHz,  4 x 4 MIMO
2400 Mbps (5 GHz),  600 Mbps (2,4 GHz)</t>
  </si>
  <si>
    <t>switch, 24 portů, 10/100/1000Mbps, RJ45, desktop,
montáž do Rack 19", přepínací kapacita 48 Gbit/s</t>
  </si>
  <si>
    <t>krabice inst. KO 68</t>
  </si>
  <si>
    <t>krabice inst. KO 97</t>
  </si>
  <si>
    <t>krabice inst. KT 250</t>
  </si>
  <si>
    <t>trubka PVC 20</t>
  </si>
  <si>
    <t>trubka PVC 25</t>
  </si>
  <si>
    <t>trubka PVC 40</t>
  </si>
  <si>
    <t>drobný instalační materiál</t>
  </si>
  <si>
    <t>Videotelefon, únikové východy</t>
  </si>
  <si>
    <t>modul IP interkomu s kamerou, 1. tlač.</t>
  </si>
  <si>
    <t>modul IP interkomu - 6. tlač.</t>
  </si>
  <si>
    <t>modul IP interkomu - bezkontaktní čtečka EM karet</t>
  </si>
  <si>
    <t>instalační krabice pod omítku</t>
  </si>
  <si>
    <t>kryt proti dešti a slunci</t>
  </si>
  <si>
    <t>bytový, 7" IP dotykový monitor, interkom mezi
bytovými jednotkami, PoE</t>
  </si>
  <si>
    <t>držák monitoru na stůl</t>
  </si>
  <si>
    <t>switch 8 x PoE, 2 x Gb uplink, 110W, Super PoE</t>
  </si>
  <si>
    <t>EM přívěsek</t>
  </si>
  <si>
    <t>elmag. zámek nízkoodběrový, inverzní, 12V</t>
  </si>
  <si>
    <t>tlačítko zvonkové, celoplošné</t>
  </si>
  <si>
    <t>napájecí zdroj zálohovaný 13,8V / 1,5A, kovový kryt</t>
  </si>
  <si>
    <t>akumulátor 12V / 7 Ah</t>
  </si>
  <si>
    <t>kabel SYKFY 3 x 2 x 0,5</t>
  </si>
  <si>
    <t>Kamerový systém</t>
  </si>
  <si>
    <t>DVR 8 ch., 4 Mpix, Turbo HD</t>
  </si>
  <si>
    <t>HDD 4 TB, Sata</t>
  </si>
  <si>
    <t>Dome ball kamera, 2 Mpix, 2,7 - 13,5 mm, Turbo HD</t>
  </si>
  <si>
    <t>patice pod Dome ball kameru</t>
  </si>
  <si>
    <t>Mini dome kamera, 2 Mpix, 2,8 mm, Turbo HD</t>
  </si>
  <si>
    <t>pasivní převodník koax/UTP, 8 Mpix</t>
  </si>
  <si>
    <t>napájecí adaptér 12V/2A</t>
  </si>
  <si>
    <t>monitor LCD 19"</t>
  </si>
  <si>
    <t>Interaktivní tabule</t>
  </si>
  <si>
    <t>subdodávka  s montáží a oživením:
interaktivní tabule: 164 x 110 cm, úhlopříčka 78", poměr             stran 4 : 3
projektor: rozlišení 1600 x 1200 / 60 Hz, jas 3300 lm, reproduktory 2 x 10W, dálkové ovládaní
zvedací mechanismus
kabelová sada
výukový program pro MŠ</t>
  </si>
  <si>
    <t>MONTÁŽ :</t>
  </si>
  <si>
    <t>technická příprava</t>
  </si>
  <si>
    <t>M-22</t>
  </si>
  <si>
    <t>datový rozvaděč 15U - kompletace, osazení</t>
  </si>
  <si>
    <t>vyvázaní a zapojení Patch panelu 24 port</t>
  </si>
  <si>
    <t>vyvázaní a zapojení Patch panelu 12 port</t>
  </si>
  <si>
    <t>vtažení kabelu sdělovacího  do PVC trubky</t>
  </si>
  <si>
    <t>kabel sdělovací - volně položený v podhledu</t>
  </si>
  <si>
    <t>kabel optický volně v podhledu, nebo v PVC trubce</t>
  </si>
  <si>
    <t>kabel silový - volně ložený v podhledu</t>
  </si>
  <si>
    <t>zásuvka silová</t>
  </si>
  <si>
    <t>šítkování zásuvek a Patch panelů</t>
  </si>
  <si>
    <t>certifikační měření</t>
  </si>
  <si>
    <t>osazení krabice inst. KO 68, vč. zasekání</t>
  </si>
  <si>
    <t>osazení krabice inst. KO 97, vč. zasekání</t>
  </si>
  <si>
    <t>osazení krabice inst. KT 250, vč. zasekání</t>
  </si>
  <si>
    <t>trubka PVC 20 pod omítkou, vč. vysekání drážky</t>
  </si>
  <si>
    <t>trubka PVC 25 pod omítkou, vč. vysekání drážky</t>
  </si>
  <si>
    <t>trubka PVC 40 pod omítkou, vč. vysekání drážky</t>
  </si>
  <si>
    <t>průraz zdivem tl. 15 cm</t>
  </si>
  <si>
    <t>průraz zdivem tl. 30 cm</t>
  </si>
  <si>
    <t>průraz stropem</t>
  </si>
  <si>
    <t>zednická výpomoc</t>
  </si>
  <si>
    <t>kompletace, montáž, zapojení venkovní stanice</t>
  </si>
  <si>
    <t>montáž, zapojení vnitřní jednotky na zeď</t>
  </si>
  <si>
    <t>montáž, zapojení vnitřní jednotky na stůl</t>
  </si>
  <si>
    <t>zapojení systému v datovém rozvaděči</t>
  </si>
  <si>
    <t xml:space="preserve">elmag. zámek - osazení </t>
  </si>
  <si>
    <t>tlačítko zvonkové, celoplošné - osazení, zapojení</t>
  </si>
  <si>
    <t>napájecí zdroj zálohovaný</t>
  </si>
  <si>
    <t>kabel sdělovací pod omítkou, vč. vysekání drážky</t>
  </si>
  <si>
    <t>naprogramování, oživení systému IP videotelefonu</t>
  </si>
  <si>
    <t>kompletace, zapojení DVR</t>
  </si>
  <si>
    <t>zapojení, montáž venkovní Dome ball kamery</t>
  </si>
  <si>
    <t>zapojení, montáž vnitřní Mini dome kamery</t>
  </si>
  <si>
    <t>naprogramování, oživení kamerového systému</t>
  </si>
  <si>
    <t>rekapitulace nákladů :</t>
  </si>
  <si>
    <t xml:space="preserve">  materiál celkem</t>
  </si>
  <si>
    <t xml:space="preserve">  Kč</t>
  </si>
  <si>
    <t xml:space="preserve">  montáž celkem</t>
  </si>
  <si>
    <t xml:space="preserve">  projekční práce - skutečný stav</t>
  </si>
  <si>
    <t xml:space="preserve">  doprava</t>
  </si>
  <si>
    <t xml:space="preserve">  n á k l a d y  c e l k e m</t>
  </si>
  <si>
    <t xml:space="preserve">  Kč bez DPH</t>
  </si>
  <si>
    <t>příloha č. 2</t>
  </si>
  <si>
    <t>Elektrická Zabezpečovací Signalizace - EZS</t>
  </si>
  <si>
    <t>ústředna modulární, sběrnicová min.50 vstupu ATZ, AUX 2A</t>
  </si>
  <si>
    <t>síťový transformátor ústředny</t>
  </si>
  <si>
    <t xml:space="preserve">akumulátor 12V 17 Ah </t>
  </si>
  <si>
    <t>kryt ústředny, povrchová montáž</t>
  </si>
  <si>
    <t>kryt akumulátoru 17 Ah, povrchová montáž</t>
  </si>
  <si>
    <t>klávesnice LCD</t>
  </si>
  <si>
    <t>kryt klávesnice se zámkem</t>
  </si>
  <si>
    <t>expandér 16 x ATZ</t>
  </si>
  <si>
    <t xml:space="preserve">PIR detektor , dosah 11 m </t>
  </si>
  <si>
    <t>audiodetektor</t>
  </si>
  <si>
    <t>mag. kontakt, povrchová nebo zápustná montáž</t>
  </si>
  <si>
    <t>detektor kouře tepelný</t>
  </si>
  <si>
    <t>detektor kouře optokouřový</t>
  </si>
  <si>
    <t>siréna vnitřní, nezálohovaná 110dB/m</t>
  </si>
  <si>
    <t xml:space="preserve">kabel  SYKFY 5 x 2 x 0,5 </t>
  </si>
  <si>
    <t xml:space="preserve">kabel SYKFY 3 x 2 x 0,5 </t>
  </si>
  <si>
    <t>kabel SYKFY 2 x 2 x 0,5</t>
  </si>
  <si>
    <t xml:space="preserve">krabice KO 68 </t>
  </si>
  <si>
    <t xml:space="preserve">krabice KO 97 </t>
  </si>
  <si>
    <t>kompletace, osazení a zapojení ústředny</t>
  </si>
  <si>
    <t>akumulátor v krytu</t>
  </si>
  <si>
    <t>klávesnice LCD v krytu - osazení, zapojení</t>
  </si>
  <si>
    <t>zapojení expandéru 16 x ATZ</t>
  </si>
  <si>
    <t>mag. kontakt , povrchová montáž</t>
  </si>
  <si>
    <t>siréna vnitřní, nezálohovaná</t>
  </si>
  <si>
    <t xml:space="preserve">napojení systému na PCO Městské policie Opava (provede </t>
  </si>
  <si>
    <t>firma, která tuto činnost pro Městskou policii zajišťuje)</t>
  </si>
  <si>
    <t>kabel sdělovací volně v podhledu</t>
  </si>
  <si>
    <t>kabel silový volně v podhledu</t>
  </si>
  <si>
    <t>oživení, naprogramování systému EZS</t>
  </si>
  <si>
    <t>zaškolení obsluhy systému EZS</t>
  </si>
  <si>
    <t xml:space="preserve">  výchozí revize, funkční zkoušky</t>
  </si>
  <si>
    <t>" Vyspravení drážek ve zdivu po provedení profesí "</t>
  </si>
  <si>
    <t>" Příplatek za dalších 2x 5mm vnitřní vápenné omítky jádrové " 2*990,2</t>
  </si>
  <si>
    <t>291</t>
  </si>
  <si>
    <t>292</t>
  </si>
  <si>
    <t>293</t>
  </si>
  <si>
    <t>295</t>
  </si>
  <si>
    <t>296</t>
  </si>
  <si>
    <t>297</t>
  </si>
  <si>
    <t>298</t>
  </si>
  <si>
    <t>Zdravotechnika</t>
  </si>
  <si>
    <t>" Odstranění asfaltového krytu tl 50mm stávající chodník " 2,4*21,3+1,6*14,3+1,6*13,3</t>
  </si>
  <si>
    <t>" Vybourání obrub vč betonového lože " 2*(14,8+14,3+21,3)</t>
  </si>
  <si>
    <t>" Bourání stávající ŽB podkladní desky stávajícího chodníku " 0,2*96</t>
  </si>
  <si>
    <t>" Rozebrání stávající betonové dlažby okapového chodníku " 0,5*(20,5+13,3+5,4+14)</t>
  </si>
  <si>
    <t xml:space="preserve">" Rozebrání stávající betonové dlažby terasy " </t>
  </si>
  <si>
    <t>Rozebrání dlažeb z betonových nebo kamenných dlaždic s ložem z kameniva nebo živice komunikací pro pěší ručně</t>
  </si>
  <si>
    <t>" Bourání stávající ŽB podkladní desky stávající terasy " 0,2*52,8</t>
  </si>
  <si>
    <t xml:space="preserve">" Bourání patek stávajích plotových sloupků " </t>
  </si>
  <si>
    <t>" Bourání stávajících plotových sloupků "</t>
  </si>
  <si>
    <t xml:space="preserve">Bourání sloupků a vzpěr plotových ocelových do 2,5 m </t>
  </si>
  <si>
    <t>Rozebrání rámového oplocení na ocelové sloupky v přes 1 do 2 m</t>
  </si>
  <si>
    <t>Rozebrání oplocení z drátěného pletiva se čtvercovými oky v přes 1,6 do 2,0 m</t>
  </si>
  <si>
    <t xml:space="preserve">" Sejmutí ornice tl do 200mm " </t>
  </si>
  <si>
    <t>" Vytěžení zeminy v rámci BP stávajících zpevněných ploch. oplocení a úprav exteriéru, po sejmutí ornice " 28*(0,9*0,3*0,3)+100,8*(0,3*0,5)+(4,5+11,2+5,5+2,4)*0,5*0,3</t>
  </si>
  <si>
    <t>Ochranné oplocení kořenové zóny stromu v rovině nebo na svahu do 1:5 v přes 1500 do 2000 mm</t>
  </si>
  <si>
    <t>" Ochranné oplocení kořenových zón a kmenů stromů - ochrana před stavební činností " 3*30</t>
  </si>
  <si>
    <t>" Demontáž stávajícího zábradlí terasa " 2,4+5,5+11,2+4,5</t>
  </si>
  <si>
    <t>" Výkopy skladba ZP1 " 180*0,37</t>
  </si>
  <si>
    <t>" Výkopy skladba ZP3 " 19,3*0,5</t>
  </si>
  <si>
    <t xml:space="preserve">" Zásyp zelených ploch humózní zeminou " </t>
  </si>
  <si>
    <t xml:space="preserve">" Plošná úprava terénu v rámci po provedení stavebních činností spojených s rekonstrukcí objektu a zpevněných ploch " </t>
  </si>
  <si>
    <t>Rozprostření ornice tl vrstvy do 200 mm v rovině nebo ve svahu do 1:5 ručně</t>
  </si>
  <si>
    <t xml:space="preserve">" Roprostření sejmuté ornice pro založení trávníku " </t>
  </si>
  <si>
    <t>" Zhutnění zeminy pro provedení zpevněných ploch " 180+19,3</t>
  </si>
  <si>
    <t>Podklad ze štěrkodrtě ŠD plochy do 100 m2 tl 100 mm</t>
  </si>
  <si>
    <t xml:space="preserve">" Provedení nových zpevněných ploch - skladba ZP3 " </t>
  </si>
  <si>
    <t>Kladení zámkové dlažby komunikací pro pěší ručně tl 60 mm skupiny A pl do 50 m2</t>
  </si>
  <si>
    <t>dlažba plošná betonová chodníková 300x300x60mm přírodní</t>
  </si>
  <si>
    <t>59248005R</t>
  </si>
  <si>
    <t>Kladení zámkové dlažby komunikací pro pěší ručně tl 80 mm skupiny A pl přes 100 do 300 m2</t>
  </si>
  <si>
    <t>dlažba zámková tvaru I 196x161x80mm přírodní</t>
  </si>
  <si>
    <t>" Lemování nových zpevněných ploch betonovými obrubníky š 150mm "</t>
  </si>
  <si>
    <t>Uložení sypaniny z hornin nesoudržných sypkých do násypů zhutněných strojně</t>
  </si>
  <si>
    <t>" Dodání sypaniny do dětského pískoviště " 0,3*19,3</t>
  </si>
  <si>
    <t>písek křemičitý sušený frakce 0,1</t>
  </si>
  <si>
    <t>Okapový chodník z betonových dlaždic tl 40 mm kladených do písku se zalitím spár MC</t>
  </si>
  <si>
    <t>" Provedení okapového chodníku " 16,82*0,4</t>
  </si>
  <si>
    <t>637121111R</t>
  </si>
  <si>
    <t>" Provedení okapového chodníku z kačírku, vč lože z netkané zahradní textilie " 0,4*(15+11+7,4+6)</t>
  </si>
  <si>
    <t>Osazení podhrabových desek dl přes 2 do 3 m na ocelové plotové sloupky</t>
  </si>
  <si>
    <t xml:space="preserve">betonová podhrabová deska 2500x300x50mm </t>
  </si>
  <si>
    <t>59232543R</t>
  </si>
  <si>
    <t>držák podhrabové desky typ H pro sloupek D 60-70mm výšky 300mm průběžný povrchová úprava žárový zinek</t>
  </si>
  <si>
    <t>držák podhrabové desky typ U výšky 300mm koncový povrchová úprava žárový zinek</t>
  </si>
  <si>
    <t xml:space="preserve">" Provedení nového oplocení - podhrabové desky vč držáků průběžných a stabilizačních " </t>
  </si>
  <si>
    <t>Osazování sloupků a vzpěr plotových ocelových v do 2 m se zabetonováním</t>
  </si>
  <si>
    <t xml:space="preserve">" Provedení nového oplocení - ocelové sloupky s krytkami se zabetonováním do patek " </t>
  </si>
  <si>
    <t>55342157R</t>
  </si>
  <si>
    <t>plotový sloupek s patkou 60x60mm dl 1,5-2,0m povrchová úprava Zn + PVC antracit</t>
  </si>
  <si>
    <t>55342158R</t>
  </si>
  <si>
    <t>plotový sloupek s patkou 60x40mm dl 1,5-2,0m povrchová úprava Zn + PVC antracit</t>
  </si>
  <si>
    <t>Montáž rámového oplocení v přes 1 do 1,5 m</t>
  </si>
  <si>
    <t xml:space="preserve">" Provedení nového oplocení - plotové dílce " </t>
  </si>
  <si>
    <t>oplocení rámové 1030x2500mm v 1230mm 3D panel síla drát 5mm, Zn + PVC antracit, 4x úchyt</t>
  </si>
  <si>
    <t>3489901R</t>
  </si>
  <si>
    <t>Osazení vrat nebo vrátek k oplocení na ocelové sloupky pl do 2 m2</t>
  </si>
  <si>
    <t>348</t>
  </si>
  <si>
    <t xml:space="preserve">" Osazení plotové branky rozměr pole 1200x1500m " </t>
  </si>
  <si>
    <t>branka plotová jednokřídlá Pz s PVC vrstvou 1050x1450mm vč kování a zámku</t>
  </si>
  <si>
    <t>553</t>
  </si>
  <si>
    <t>55342333R</t>
  </si>
  <si>
    <t>Osazení vrat nebo vrátek k oplocení na ocelové sloupky pl přes 4 do 6 m2</t>
  </si>
  <si>
    <t xml:space="preserve">" Osazení plotové branky rozměr pole 3600x1500m " </t>
  </si>
  <si>
    <t>55342360R</t>
  </si>
  <si>
    <t>brána plotová dvoukřídlá Pz s PVC vrstvou 3450x1450mm vč kování a zámku</t>
  </si>
  <si>
    <t>Svislé a kompletní konstrukce</t>
  </si>
  <si>
    <t>" Výkopy pro patky plotových sloupků " 28*(0,3*0,3*0,9)</t>
  </si>
  <si>
    <t>" Uvažováno s maximálním vodorovným přemístěním výkopku 30m = 20m příplatek " 20*99,5</t>
  </si>
  <si>
    <t xml:space="preserve">" Uložení nespotřebované vytěžené zeminy na skládku " </t>
  </si>
  <si>
    <t>" Vzd skládky do 20km = 10km příplatek " 10*36</t>
  </si>
  <si>
    <t>" Poplatek za uložení zeminy na skládce " 36*1,5</t>
  </si>
  <si>
    <t>Okapový chodník z kačírku tl 50 mm s udusáním</t>
  </si>
  <si>
    <t>" Vzdálenost skládky do 20km " 20*136,7</t>
  </si>
  <si>
    <t>997013602R</t>
  </si>
  <si>
    <t>Poplatek za uložení na skládce (skládkovné) stavebního odpadu železového kód odpadu 17 04 05</t>
  </si>
  <si>
    <t>Poplatek za uložení na skládce (skládkovné) odpadu asfaltového bez dehtu kód odpadu 17 03 02</t>
  </si>
  <si>
    <t>997013804R</t>
  </si>
  <si>
    <t>Poplatek za uložení na recyklační skládce (skládkovné) stavebního odpadu ze skla kód odpadu 17 02 02</t>
  </si>
  <si>
    <t>997013811R</t>
  </si>
  <si>
    <t>Poplatek za uložení na recyklační skládce (skládkovné) stavebního odpadu dřevěného kód odpadu 17 02 01</t>
  </si>
  <si>
    <t>997013813R</t>
  </si>
  <si>
    <t>Poplatek za uložení na recyklační skládce (skládkovné) stavebního odpadu z plastických hmot kód odpadu 17 02 03</t>
  </si>
  <si>
    <t>Poplatek za uložení stavebního odpadu na recyklační skládce (skládkovné) z prostého betonu kód odpadu 17 01 01</t>
  </si>
  <si>
    <t>Poplatek za uložení stavebního odpadu na recyklační skládce (skládkovné) cihelného kód odpadu 17 01 02</t>
  </si>
  <si>
    <t>Poplatek za uložení stavebního odpadu na recyklační skládce (skládkovné) ze směsí betonu, cihel a keramických výrobků kód odpadu 17 01 07</t>
  </si>
  <si>
    <t>299</t>
  </si>
  <si>
    <t>300</t>
  </si>
  <si>
    <t>301</t>
  </si>
  <si>
    <t>302</t>
  </si>
  <si>
    <t>" Vzdálenost skládky do 20km " 20*294</t>
  </si>
  <si>
    <t>Výkaz výměr</t>
  </si>
  <si>
    <t>Stavba:   MŠ LIPTOVSKÁ - REKONSTRUKCE</t>
  </si>
  <si>
    <t>Koordinace jednotlicvých etap rekonstrukce – viz odst. 7.2. SOD. Koordinace prací se souběžně prováděnými stavebními úpravami pavilonu I.</t>
  </si>
  <si>
    <t>Stavba:  MŠ LIPTOVSKÁ - REKONSTRUKCE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</si>
  <si>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</si>
  <si>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</si>
  <si>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</si>
  <si>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</si>
  <si>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</si>
  <si>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</si>
  <si>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</si>
  <si>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</si>
  <si>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</si>
  <si>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</si>
  <si>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</si>
  <si>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 xml:space="preserve">" Nosnost 100kg, 2ks svisle posuvných bariér š 800mm v 800mm, nová klec nerez brus vč přepážky, š 800mm v 800mm hl 720mm, plechy před šachetními dvířky, přivlávaře 4-tlačítkové (zvonek + 3 patra + blokace klíč), nosné lano vč svorek a očnic, nový stroj vč podesty, vodítek a konzol, rozvaděč, el. instalace šachty, snímače MKT1+kabeláž 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</si>
</sst>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;\-#,##0.000"/>
    <numFmt numFmtId="165" formatCode="0.0%"/>
    <numFmt numFmtId="166" formatCode="#,##0.00_ ;\-#,##0.00\ 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 CE"/>
      <family val="2"/>
    </font>
    <font>
      <sz val="8"/>
      <name val="MS Sans Serif"/>
      <family val="2"/>
    </font>
    <font>
      <sz val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16"/>
      <name val="Arial"/>
      <family val="2"/>
    </font>
    <font>
      <sz val="8"/>
      <color indexed="12"/>
      <name val="Arial CE"/>
      <family val="2"/>
    </font>
    <font>
      <sz val="8"/>
      <color indexed="18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Helv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1"/>
      <color theme="1"/>
      <name val="Arial CE"/>
      <family val="2"/>
    </font>
    <font>
      <sz val="8"/>
      <color indexed="8"/>
      <name val="Arial CE"/>
      <family val="2"/>
    </font>
    <font>
      <sz val="8"/>
      <name val="Trebuchet MS"/>
      <family val="2"/>
    </font>
    <font>
      <i/>
      <sz val="8"/>
      <name val="Arial CE"/>
      <family val="2"/>
    </font>
    <font>
      <i/>
      <sz val="11"/>
      <color theme="1"/>
      <name val="Arial CE"/>
      <family val="2"/>
    </font>
    <font>
      <sz val="10"/>
      <color rgb="FF000000"/>
      <name val="Calibri"/>
      <family val="2"/>
      <scheme val="minor"/>
    </font>
    <font>
      <b/>
      <sz val="8"/>
      <name val="Arial CE"/>
      <family val="2"/>
    </font>
    <font>
      <sz val="8"/>
      <color rgb="FFFF0000"/>
      <name val="Arial CE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  <font>
      <sz val="9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i/>
      <sz val="8"/>
      <name val="Tahoma"/>
      <family val="2"/>
    </font>
    <font>
      <i/>
      <sz val="10"/>
      <name val="Tahoma"/>
      <family val="2"/>
    </font>
    <font>
      <sz val="12"/>
      <name val="Times New Roman CE"/>
      <family val="1"/>
    </font>
    <font>
      <sz val="12"/>
      <name val="Times New Roman"/>
      <family val="1"/>
    </font>
    <font>
      <b/>
      <sz val="12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 applyFill="0" applyBorder="0" applyProtection="0">
      <alignment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" fillId="0" borderId="0">
      <alignment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1" fillId="0" borderId="0">
      <alignment/>
      <protection/>
    </xf>
    <xf numFmtId="0" fontId="1" fillId="0" borderId="0" applyFont="0" applyFill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48">
    <xf numFmtId="0" fontId="0" fillId="0" borderId="0" xfId="0"/>
    <xf numFmtId="0" fontId="2" fillId="0" borderId="0" xfId="20" applyFont="1" applyFill="1" applyAlignment="1" applyProtection="1">
      <alignment horizontal="left"/>
      <protection/>
    </xf>
    <xf numFmtId="0" fontId="7" fillId="0" borderId="0" xfId="20" applyFont="1" applyFill="1" applyAlignment="1" applyProtection="1">
      <alignment horizontal="left"/>
      <protection/>
    </xf>
    <xf numFmtId="0" fontId="4" fillId="0" borderId="0" xfId="2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ill="1"/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37" fontId="7" fillId="0" borderId="2" xfId="0" applyNumberFormat="1" applyFont="1" applyFill="1" applyBorder="1" applyAlignment="1" applyProtection="1">
      <alignment horizontal="right"/>
      <protection/>
    </xf>
    <xf numFmtId="0" fontId="7" fillId="0" borderId="2" xfId="0" applyFont="1" applyFill="1" applyBorder="1" applyAlignment="1" applyProtection="1">
      <alignment horizontal="left" wrapText="1"/>
      <protection/>
    </xf>
    <xf numFmtId="164" fontId="7" fillId="0" borderId="2" xfId="0" applyNumberFormat="1" applyFont="1" applyFill="1" applyBorder="1" applyAlignment="1" applyProtection="1">
      <alignment horizontal="right"/>
      <protection/>
    </xf>
    <xf numFmtId="39" fontId="7" fillId="0" borderId="2" xfId="0" applyNumberFormat="1" applyFont="1" applyFill="1" applyBorder="1" applyAlignment="1" applyProtection="1">
      <alignment horizontal="right"/>
      <protection/>
    </xf>
    <xf numFmtId="37" fontId="7" fillId="0" borderId="3" xfId="0" applyNumberFormat="1" applyFont="1" applyFill="1" applyBorder="1" applyAlignment="1" applyProtection="1">
      <alignment horizontal="right"/>
      <protection/>
    </xf>
    <xf numFmtId="0" fontId="7" fillId="0" borderId="3" xfId="0" applyFont="1" applyFill="1" applyBorder="1" applyAlignment="1" applyProtection="1">
      <alignment horizontal="left" wrapText="1"/>
      <protection/>
    </xf>
    <xf numFmtId="2" fontId="7" fillId="0" borderId="3" xfId="0" applyNumberFormat="1" applyFont="1" applyFill="1" applyBorder="1" applyAlignment="1" applyProtection="1">
      <alignment horizontal="right"/>
      <protection/>
    </xf>
    <xf numFmtId="39" fontId="7" fillId="0" borderId="3" xfId="0" applyNumberFormat="1" applyFont="1" applyFill="1" applyBorder="1" applyAlignment="1" applyProtection="1">
      <alignment horizontal="right"/>
      <protection/>
    </xf>
    <xf numFmtId="37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164" fontId="9" fillId="0" borderId="0" xfId="0" applyNumberFormat="1" applyFont="1" applyFill="1" applyBorder="1" applyAlignment="1" applyProtection="1">
      <alignment horizontal="right"/>
      <protection/>
    </xf>
    <xf numFmtId="39" fontId="9" fillId="0" borderId="0" xfId="0" applyNumberFormat="1" applyFont="1" applyFill="1" applyBorder="1" applyAlignment="1" applyProtection="1">
      <alignment horizontal="right"/>
      <protection/>
    </xf>
    <xf numFmtId="39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21" applyFont="1" applyFill="1" applyAlignment="1" applyProtection="1">
      <alignment vertical="center"/>
      <protection/>
    </xf>
    <xf numFmtId="0" fontId="4" fillId="0" borderId="3" xfId="0" applyFont="1" applyFill="1" applyBorder="1" applyAlignment="1" applyProtection="1">
      <alignment horizontal="left" wrapText="1"/>
      <protection/>
    </xf>
    <xf numFmtId="2" fontId="4" fillId="0" borderId="3" xfId="0" applyNumberFormat="1" applyFont="1" applyFill="1" applyBorder="1" applyAlignment="1" applyProtection="1">
      <alignment horizontal="right"/>
      <protection/>
    </xf>
    <xf numFmtId="39" fontId="4" fillId="0" borderId="3" xfId="0" applyNumberFormat="1" applyFont="1" applyFill="1" applyBorder="1" applyAlignment="1" applyProtection="1">
      <alignment horizontal="right"/>
      <protection/>
    </xf>
    <xf numFmtId="0" fontId="11" fillId="0" borderId="3" xfId="0" applyFont="1" applyFill="1" applyBorder="1" applyAlignment="1" applyProtection="1">
      <alignment horizontal="left" wrapText="1"/>
      <protection/>
    </xf>
    <xf numFmtId="2" fontId="11" fillId="0" borderId="3" xfId="0" applyNumberFormat="1" applyFont="1" applyFill="1" applyBorder="1" applyAlignment="1" applyProtection="1">
      <alignment horizontal="right"/>
      <protection/>
    </xf>
    <xf numFmtId="49" fontId="4" fillId="0" borderId="3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right" wrapText="1"/>
      <protection/>
    </xf>
    <xf numFmtId="2" fontId="6" fillId="0" borderId="0" xfId="0" applyNumberFormat="1" applyFont="1" applyFill="1" applyBorder="1" applyAlignment="1" applyProtection="1">
      <alignment horizontal="right"/>
      <protection/>
    </xf>
    <xf numFmtId="0" fontId="1" fillId="0" borderId="0" xfId="23" applyFont="1">
      <alignment/>
      <protection/>
    </xf>
    <xf numFmtId="0" fontId="1" fillId="0" borderId="0" xfId="23" applyFont="1" applyAlignment="1">
      <alignment/>
      <protection/>
    </xf>
    <xf numFmtId="0" fontId="16" fillId="0" borderId="0" xfId="23" applyFont="1">
      <alignment/>
      <protection/>
    </xf>
    <xf numFmtId="0" fontId="17" fillId="0" borderId="0" xfId="23" applyFont="1" applyAlignment="1">
      <alignment horizontal="left"/>
      <protection/>
    </xf>
    <xf numFmtId="0" fontId="18" fillId="0" borderId="0" xfId="23" applyFont="1" applyAlignment="1">
      <alignment horizontal="left" vertical="center"/>
      <protection/>
    </xf>
    <xf numFmtId="0" fontId="5" fillId="0" borderId="0" xfId="24" applyAlignment="1">
      <alignment/>
      <protection/>
    </xf>
    <xf numFmtId="0" fontId="13" fillId="0" borderId="0" xfId="23" applyFont="1" applyAlignment="1">
      <alignment/>
      <protection/>
    </xf>
    <xf numFmtId="14" fontId="14" fillId="0" borderId="0" xfId="23" applyNumberFormat="1" applyFont="1" applyAlignment="1">
      <alignment horizontal="left"/>
      <protection/>
    </xf>
    <xf numFmtId="0" fontId="18" fillId="0" borderId="0" xfId="23" applyFont="1" applyAlignment="1">
      <alignment horizontal="left" vertical="top" wrapText="1"/>
      <protection/>
    </xf>
    <xf numFmtId="0" fontId="5" fillId="0" borderId="0" xfId="23" applyAlignment="1">
      <alignment vertical="top" wrapText="1"/>
      <protection/>
    </xf>
    <xf numFmtId="0" fontId="13" fillId="0" borderId="0" xfId="23" applyFont="1">
      <alignment/>
      <protection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horizontal="left"/>
      <protection/>
    </xf>
    <xf numFmtId="0" fontId="1" fillId="0" borderId="0" xfId="23" applyFont="1" applyAlignment="1">
      <alignment horizontal="right"/>
      <protection/>
    </xf>
    <xf numFmtId="0" fontId="19" fillId="2" borderId="4" xfId="23" applyFont="1" applyFill="1" applyBorder="1" applyAlignment="1">
      <alignment wrapText="1"/>
      <protection/>
    </xf>
    <xf numFmtId="0" fontId="19" fillId="2" borderId="5" xfId="23" applyFont="1" applyFill="1" applyBorder="1" applyAlignment="1">
      <alignment wrapText="1"/>
      <protection/>
    </xf>
    <xf numFmtId="0" fontId="19" fillId="2" borderId="6" xfId="23" applyFont="1" applyFill="1" applyBorder="1" applyAlignment="1">
      <alignment wrapText="1"/>
      <protection/>
    </xf>
    <xf numFmtId="0" fontId="19" fillId="2" borderId="4" xfId="23" applyFont="1" applyFill="1" applyBorder="1" applyAlignment="1">
      <alignment horizontal="right" wrapText="1"/>
      <protection/>
    </xf>
    <xf numFmtId="0" fontId="1" fillId="2" borderId="5" xfId="23" applyFont="1" applyFill="1" applyBorder="1" applyAlignment="1">
      <alignment/>
      <protection/>
    </xf>
    <xf numFmtId="0" fontId="19" fillId="2" borderId="5" xfId="23" applyFont="1" applyFill="1" applyBorder="1" applyAlignment="1">
      <alignment horizontal="right" wrapText="1"/>
      <protection/>
    </xf>
    <xf numFmtId="0" fontId="13" fillId="2" borderId="6" xfId="23" applyFont="1" applyFill="1" applyBorder="1" applyAlignment="1">
      <alignment horizontal="right"/>
      <protection/>
    </xf>
    <xf numFmtId="0" fontId="19" fillId="3" borderId="0" xfId="23" applyFont="1" applyFill="1" applyBorder="1" applyAlignment="1">
      <alignment horizontal="right" wrapText="1"/>
      <protection/>
    </xf>
    <xf numFmtId="0" fontId="1" fillId="0" borderId="7" xfId="23" applyFont="1" applyBorder="1" applyAlignment="1">
      <alignment vertical="center"/>
      <protection/>
    </xf>
    <xf numFmtId="0" fontId="1" fillId="0" borderId="0" xfId="23" applyFont="1" applyBorder="1" applyAlignment="1">
      <alignment vertical="center"/>
      <protection/>
    </xf>
    <xf numFmtId="1" fontId="1" fillId="0" borderId="0" xfId="23" applyNumberFormat="1" applyFont="1" applyBorder="1" applyAlignment="1">
      <alignment horizontal="right" vertical="center"/>
      <protection/>
    </xf>
    <xf numFmtId="0" fontId="1" fillId="0" borderId="8" xfId="23" applyFont="1" applyBorder="1" applyAlignment="1">
      <alignment vertical="center"/>
      <protection/>
    </xf>
    <xf numFmtId="4" fontId="1" fillId="0" borderId="9" xfId="23" applyNumberFormat="1" applyFont="1" applyBorder="1" applyAlignment="1">
      <alignment horizontal="right" vertical="center"/>
      <protection/>
    </xf>
    <xf numFmtId="4" fontId="1" fillId="0" borderId="10" xfId="23" applyNumberFormat="1" applyFont="1" applyBorder="1" applyAlignment="1">
      <alignment horizontal="right" vertical="center"/>
      <protection/>
    </xf>
    <xf numFmtId="4" fontId="1" fillId="0" borderId="11" xfId="23" applyNumberFormat="1" applyFont="1" applyBorder="1" applyAlignment="1">
      <alignment horizontal="right" vertical="center"/>
      <protection/>
    </xf>
    <xf numFmtId="4" fontId="1" fillId="3" borderId="0" xfId="23" applyNumberFormat="1" applyFont="1" applyFill="1" applyBorder="1" applyAlignment="1">
      <alignment vertical="center"/>
      <protection/>
    </xf>
    <xf numFmtId="4" fontId="1" fillId="0" borderId="7" xfId="23" applyNumberFormat="1" applyFont="1" applyBorder="1" applyAlignment="1">
      <alignment horizontal="right" vertical="center"/>
      <protection/>
    </xf>
    <xf numFmtId="4" fontId="1" fillId="0" borderId="0" xfId="23" applyNumberFormat="1" applyFont="1" applyBorder="1" applyAlignment="1">
      <alignment horizontal="right" vertical="center"/>
      <protection/>
    </xf>
    <xf numFmtId="4" fontId="1" fillId="0" borderId="8" xfId="23" applyNumberFormat="1" applyFont="1" applyBorder="1" applyAlignment="1">
      <alignment horizontal="right" vertical="center"/>
      <protection/>
    </xf>
    <xf numFmtId="4" fontId="1" fillId="0" borderId="12" xfId="23" applyNumberFormat="1" applyFont="1" applyBorder="1" applyAlignment="1">
      <alignment horizontal="right" vertical="center"/>
      <protection/>
    </xf>
    <xf numFmtId="4" fontId="1" fillId="0" borderId="13" xfId="23" applyNumberFormat="1" applyFont="1" applyBorder="1" applyAlignment="1">
      <alignment horizontal="right" vertical="center"/>
      <protection/>
    </xf>
    <xf numFmtId="4" fontId="1" fillId="0" borderId="14" xfId="23" applyNumberFormat="1" applyFont="1" applyBorder="1" applyAlignment="1">
      <alignment horizontal="right" vertical="center"/>
      <protection/>
    </xf>
    <xf numFmtId="4" fontId="13" fillId="3" borderId="0" xfId="23" applyNumberFormat="1" applyFont="1" applyFill="1" applyBorder="1" applyAlignment="1">
      <alignment vertical="center"/>
      <protection/>
    </xf>
    <xf numFmtId="3" fontId="1" fillId="0" borderId="0" xfId="23" applyNumberFormat="1" applyFont="1">
      <alignment/>
      <protection/>
    </xf>
    <xf numFmtId="0" fontId="18" fillId="0" borderId="0" xfId="23" applyFont="1" applyAlignment="1">
      <alignment horizontal="left"/>
      <protection/>
    </xf>
    <xf numFmtId="0" fontId="16" fillId="0" borderId="0" xfId="23" applyFont="1" applyAlignment="1">
      <alignment horizontal="center"/>
      <protection/>
    </xf>
    <xf numFmtId="4" fontId="1" fillId="0" borderId="0" xfId="23" applyNumberFormat="1" applyFont="1">
      <alignment/>
      <protection/>
    </xf>
    <xf numFmtId="0" fontId="19" fillId="2" borderId="4" xfId="23" applyFont="1" applyFill="1" applyBorder="1" applyAlignment="1">
      <alignment vertical="center"/>
      <protection/>
    </xf>
    <xf numFmtId="0" fontId="13" fillId="2" borderId="5" xfId="23" applyFont="1" applyFill="1" applyBorder="1" applyAlignment="1">
      <alignment vertical="center"/>
      <protection/>
    </xf>
    <xf numFmtId="0" fontId="13" fillId="2" borderId="6" xfId="23" applyFont="1" applyFill="1" applyBorder="1" applyAlignment="1">
      <alignment vertical="center" wrapText="1"/>
      <protection/>
    </xf>
    <xf numFmtId="0" fontId="13" fillId="2" borderId="15" xfId="23" applyFont="1" applyFill="1" applyBorder="1" applyAlignment="1">
      <alignment horizontal="center" vertical="center" wrapText="1"/>
      <protection/>
    </xf>
    <xf numFmtId="0" fontId="13" fillId="2" borderId="6" xfId="23" applyFont="1" applyFill="1" applyBorder="1" applyAlignment="1">
      <alignment horizontal="center" vertical="center" wrapText="1"/>
      <protection/>
    </xf>
    <xf numFmtId="49" fontId="14" fillId="0" borderId="7" xfId="23" applyNumberFormat="1" applyFont="1" applyBorder="1" applyAlignment="1">
      <alignment horizontal="left"/>
      <protection/>
    </xf>
    <xf numFmtId="0" fontId="14" fillId="0" borderId="0" xfId="23" applyFont="1" applyBorder="1" applyAlignment="1">
      <alignment horizontal="left"/>
      <protection/>
    </xf>
    <xf numFmtId="0" fontId="14" fillId="0" borderId="0" xfId="23" applyFont="1" applyBorder="1">
      <alignment/>
      <protection/>
    </xf>
    <xf numFmtId="165" fontId="14" fillId="0" borderId="0" xfId="23" applyNumberFormat="1" applyFont="1" applyBorder="1">
      <alignment/>
      <protection/>
    </xf>
    <xf numFmtId="3" fontId="19" fillId="0" borderId="16" xfId="23" applyNumberFormat="1" applyFont="1" applyBorder="1" applyAlignment="1">
      <alignment horizontal="right"/>
      <protection/>
    </xf>
    <xf numFmtId="3" fontId="14" fillId="0" borderId="16" xfId="23" applyNumberFormat="1" applyFont="1" applyBorder="1" applyAlignment="1">
      <alignment horizontal="right"/>
      <protection/>
    </xf>
    <xf numFmtId="3" fontId="14" fillId="0" borderId="8" xfId="23" applyNumberFormat="1" applyFont="1" applyBorder="1" applyAlignment="1">
      <alignment horizontal="right"/>
      <protection/>
    </xf>
    <xf numFmtId="3" fontId="1" fillId="4" borderId="0" xfId="23" applyNumberFormat="1" applyFont="1" applyFill="1">
      <alignment/>
      <protection/>
    </xf>
    <xf numFmtId="49" fontId="14" fillId="0" borderId="17" xfId="23" applyNumberFormat="1" applyFont="1" applyBorder="1" applyAlignment="1">
      <alignment horizontal="left"/>
      <protection/>
    </xf>
    <xf numFmtId="3" fontId="14" fillId="4" borderId="18" xfId="23" applyNumberFormat="1" applyFont="1" applyFill="1" applyBorder="1" applyAlignment="1">
      <alignment horizontal="right"/>
      <protection/>
    </xf>
    <xf numFmtId="3" fontId="14" fillId="0" borderId="18" xfId="23" applyNumberFormat="1" applyFont="1" applyFill="1" applyBorder="1" applyAlignment="1">
      <alignment horizontal="right"/>
      <protection/>
    </xf>
    <xf numFmtId="3" fontId="14" fillId="4" borderId="19" xfId="23" applyNumberFormat="1" applyFont="1" applyFill="1" applyBorder="1" applyAlignment="1">
      <alignment horizontal="right"/>
      <protection/>
    </xf>
    <xf numFmtId="0" fontId="1" fillId="4" borderId="0" xfId="23" applyFont="1" applyFill="1">
      <alignment/>
      <protection/>
    </xf>
    <xf numFmtId="0" fontId="6" fillId="0" borderId="0" xfId="24" applyFont="1" applyFill="1" applyBorder="1">
      <alignment/>
      <protection/>
    </xf>
    <xf numFmtId="0" fontId="6" fillId="0" borderId="0" xfId="25" applyFont="1" applyBorder="1">
      <alignment/>
      <protection/>
    </xf>
    <xf numFmtId="4" fontId="6" fillId="0" borderId="0" xfId="25" applyNumberFormat="1" applyFont="1" applyBorder="1">
      <alignment/>
      <protection/>
    </xf>
    <xf numFmtId="0" fontId="6" fillId="0" borderId="0" xfId="25" applyFont="1">
      <alignment/>
      <protection/>
    </xf>
    <xf numFmtId="0" fontId="15" fillId="0" borderId="0" xfId="25" applyFont="1" applyAlignment="1">
      <alignment wrapText="1"/>
      <protection/>
    </xf>
    <xf numFmtId="0" fontId="15" fillId="0" borderId="0" xfId="25" applyFont="1">
      <alignment/>
      <protection/>
    </xf>
    <xf numFmtId="0" fontId="6" fillId="0" borderId="0" xfId="25" applyFont="1" applyAlignment="1">
      <alignment wrapText="1"/>
      <protection/>
    </xf>
    <xf numFmtId="0" fontId="1" fillId="0" borderId="0" xfId="23" applyFont="1" applyFill="1">
      <alignment/>
      <protection/>
    </xf>
    <xf numFmtId="0" fontId="19" fillId="0" borderId="0" xfId="23" applyFont="1" applyFill="1" applyBorder="1" applyAlignment="1">
      <alignment vertical="center"/>
      <protection/>
    </xf>
    <xf numFmtId="49" fontId="19" fillId="0" borderId="0" xfId="23" applyNumberFormat="1" applyFont="1" applyFill="1" applyBorder="1" applyAlignment="1">
      <alignment horizontal="left" vertical="center"/>
      <protection/>
    </xf>
    <xf numFmtId="165" fontId="14" fillId="0" borderId="0" xfId="23" applyNumberFormat="1" applyFont="1" applyFill="1" applyBorder="1">
      <alignment/>
      <protection/>
    </xf>
    <xf numFmtId="3" fontId="19" fillId="0" borderId="0" xfId="23" applyNumberFormat="1" applyFont="1" applyFill="1" applyBorder="1" applyAlignment="1">
      <alignment horizontal="right" vertical="center"/>
      <protection/>
    </xf>
    <xf numFmtId="0" fontId="1" fillId="0" borderId="0" xfId="34" applyFont="1">
      <alignment/>
      <protection/>
    </xf>
    <xf numFmtId="0" fontId="23" fillId="0" borderId="15" xfId="25" applyFont="1" applyFill="1" applyBorder="1" applyAlignment="1" applyProtection="1">
      <alignment horizontal="center" vertical="justify"/>
      <protection/>
    </xf>
    <xf numFmtId="49" fontId="23" fillId="0" borderId="15" xfId="25" applyNumberFormat="1" applyFont="1" applyFill="1" applyBorder="1" applyAlignment="1" applyProtection="1">
      <alignment horizontal="left" vertical="justify"/>
      <protection/>
    </xf>
    <xf numFmtId="0" fontId="23" fillId="0" borderId="4" xfId="25" applyFont="1" applyFill="1" applyBorder="1" applyAlignment="1" applyProtection="1">
      <alignment vertical="justify"/>
      <protection/>
    </xf>
    <xf numFmtId="0" fontId="4" fillId="0" borderId="20" xfId="25" applyFont="1" applyFill="1" applyBorder="1" applyAlignment="1" applyProtection="1">
      <alignment horizontal="center" vertical="center" wrapText="1"/>
      <protection/>
    </xf>
    <xf numFmtId="49" fontId="4" fillId="0" borderId="20" xfId="25" applyNumberFormat="1" applyFont="1" applyFill="1" applyBorder="1" applyAlignment="1" applyProtection="1">
      <alignment vertical="center" wrapText="1"/>
      <protection/>
    </xf>
    <xf numFmtId="49" fontId="4" fillId="0" borderId="20" xfId="25" applyNumberFormat="1" applyFont="1" applyFill="1" applyBorder="1" applyAlignment="1" applyProtection="1">
      <alignment horizontal="center" vertical="center" wrapText="1" shrinkToFit="1"/>
      <protection/>
    </xf>
    <xf numFmtId="4" fontId="4" fillId="0" borderId="20" xfId="25" applyNumberFormat="1" applyFont="1" applyFill="1" applyBorder="1" applyAlignment="1" applyProtection="1">
      <alignment vertical="center" wrapText="1"/>
      <protection/>
    </xf>
    <xf numFmtId="0" fontId="4" fillId="0" borderId="15" xfId="25" applyNumberFormat="1" applyFont="1" applyFill="1" applyBorder="1" applyAlignment="1" applyProtection="1">
      <alignment vertical="center" wrapText="1"/>
      <protection/>
    </xf>
    <xf numFmtId="0" fontId="4" fillId="0" borderId="21" xfId="25" applyNumberFormat="1" applyFont="1" applyFill="1" applyBorder="1" applyAlignment="1" applyProtection="1">
      <alignment vertical="center" wrapText="1"/>
      <protection/>
    </xf>
    <xf numFmtId="0" fontId="4" fillId="0" borderId="15" xfId="25" applyFont="1" applyFill="1" applyBorder="1" applyAlignment="1" applyProtection="1">
      <alignment vertical="center" wrapText="1"/>
      <protection/>
    </xf>
    <xf numFmtId="0" fontId="1" fillId="5" borderId="0" xfId="23" applyFont="1" applyFill="1">
      <alignment/>
      <protection/>
    </xf>
    <xf numFmtId="0" fontId="5" fillId="0" borderId="0" xfId="23" applyFont="1" applyAlignment="1">
      <alignment horizontal="left"/>
      <protection/>
    </xf>
    <xf numFmtId="0" fontId="24" fillId="0" borderId="0" xfId="0" applyFont="1"/>
    <xf numFmtId="39" fontId="11" fillId="0" borderId="3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 applyProtection="1">
      <alignment horizontal="left" vertical="top"/>
      <protection locked="0"/>
    </xf>
    <xf numFmtId="0" fontId="24" fillId="0" borderId="0" xfId="0" applyFont="1" applyFill="1"/>
    <xf numFmtId="2" fontId="11" fillId="0" borderId="3" xfId="0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Alignment="1" applyProtection="1">
      <alignment vertical="top"/>
      <protection locked="0"/>
    </xf>
    <xf numFmtId="0" fontId="1" fillId="0" borderId="0" xfId="34" applyFont="1" applyProtection="1">
      <alignment/>
      <protection/>
    </xf>
    <xf numFmtId="4" fontId="14" fillId="0" borderId="0" xfId="34" applyNumberFormat="1" applyFont="1" applyProtection="1">
      <alignment/>
      <protection/>
    </xf>
    <xf numFmtId="0" fontId="25" fillId="0" borderId="20" xfId="25" applyFont="1" applyFill="1" applyBorder="1" applyAlignment="1" applyProtection="1">
      <alignment vertical="center" wrapText="1"/>
      <protection/>
    </xf>
    <xf numFmtId="49" fontId="4" fillId="0" borderId="15" xfId="25" applyNumberFormat="1" applyFont="1" applyFill="1" applyBorder="1" applyAlignment="1" applyProtection="1">
      <alignment vertical="center" wrapText="1"/>
      <protection/>
    </xf>
    <xf numFmtId="49" fontId="4" fillId="0" borderId="20" xfId="25" applyNumberFormat="1" applyFont="1" applyFill="1" applyBorder="1" applyAlignment="1" applyProtection="1">
      <alignment horizontal="left" vertical="center"/>
      <protection/>
    </xf>
    <xf numFmtId="0" fontId="4" fillId="0" borderId="20" xfId="25" applyFont="1" applyFill="1" applyBorder="1" applyAlignment="1" applyProtection="1">
      <alignment vertical="center" wrapText="1"/>
      <protection/>
    </xf>
    <xf numFmtId="49" fontId="4" fillId="0" borderId="20" xfId="35" applyNumberFormat="1" applyFont="1" applyFill="1" applyBorder="1" applyAlignment="1" applyProtection="1">
      <alignment vertical="center" wrapText="1"/>
      <protection/>
    </xf>
    <xf numFmtId="0" fontId="4" fillId="0" borderId="15" xfId="35" applyFont="1" applyFill="1" applyBorder="1" applyAlignment="1" applyProtection="1">
      <alignment vertical="center" wrapText="1"/>
      <protection/>
    </xf>
    <xf numFmtId="4" fontId="4" fillId="0" borderId="20" xfId="35" applyNumberFormat="1" applyFont="1" applyFill="1" applyBorder="1" applyAlignment="1" applyProtection="1">
      <alignment vertical="center" wrapText="1"/>
      <protection/>
    </xf>
    <xf numFmtId="49" fontId="25" fillId="0" borderId="20" xfId="25" applyNumberFormat="1" applyFont="1" applyFill="1" applyBorder="1" applyAlignment="1" applyProtection="1">
      <alignment horizontal="left" vertical="center"/>
      <protection/>
    </xf>
    <xf numFmtId="0" fontId="5" fillId="6" borderId="15" xfId="25" applyFont="1" applyFill="1" applyBorder="1" applyAlignment="1" applyProtection="1">
      <alignment horizontal="center" vertical="justify"/>
      <protection/>
    </xf>
    <xf numFmtId="49" fontId="22" fillId="2" borderId="15" xfId="25" applyNumberFormat="1" applyFont="1" applyFill="1" applyBorder="1" applyAlignment="1" applyProtection="1">
      <alignment horizontal="left" vertical="justify"/>
      <protection/>
    </xf>
    <xf numFmtId="0" fontId="22" fillId="2" borderId="4" xfId="25" applyFont="1" applyFill="1" applyBorder="1" applyAlignment="1" applyProtection="1">
      <alignment vertical="justify"/>
      <protection/>
    </xf>
    <xf numFmtId="0" fontId="5" fillId="2" borderId="5" xfId="25" applyFont="1" applyFill="1" applyBorder="1" applyAlignment="1" applyProtection="1">
      <alignment horizontal="center" vertical="justify"/>
      <protection/>
    </xf>
    <xf numFmtId="4" fontId="5" fillId="2" borderId="5" xfId="25" applyNumberFormat="1" applyFont="1" applyFill="1" applyBorder="1" applyAlignment="1" applyProtection="1">
      <alignment horizontal="right" vertical="justify"/>
      <protection/>
    </xf>
    <xf numFmtId="4" fontId="5" fillId="2" borderId="6" xfId="25" applyNumberFormat="1" applyFont="1" applyFill="1" applyBorder="1" applyAlignment="1" applyProtection="1">
      <alignment horizontal="right" vertical="justify"/>
      <protection/>
    </xf>
    <xf numFmtId="4" fontId="23" fillId="2" borderId="15" xfId="25" applyNumberFormat="1" applyFont="1" applyFill="1" applyBorder="1" applyAlignment="1" applyProtection="1">
      <alignment vertical="justify"/>
      <protection/>
    </xf>
    <xf numFmtId="0" fontId="0" fillId="0" borderId="0" xfId="22" applyFill="1">
      <alignment/>
      <protection/>
    </xf>
    <xf numFmtId="0" fontId="0" fillId="0" borderId="0" xfId="0" applyFill="1" applyAlignment="1" applyProtection="1">
      <alignment horizontal="right"/>
      <protection/>
    </xf>
    <xf numFmtId="0" fontId="6" fillId="0" borderId="1" xfId="0" applyFont="1" applyFill="1" applyBorder="1" applyAlignment="1" applyProtection="1">
      <alignment horizontal="right" wrapText="1"/>
      <protection/>
    </xf>
    <xf numFmtId="0" fontId="6" fillId="0" borderId="0" xfId="21" applyFont="1" applyFill="1" applyAlignment="1" applyProtection="1">
      <alignment horizontal="right"/>
      <protection/>
    </xf>
    <xf numFmtId="0" fontId="0" fillId="0" borderId="0" xfId="0" applyFill="1" applyAlignment="1">
      <alignment horizontal="right"/>
    </xf>
    <xf numFmtId="49" fontId="4" fillId="0" borderId="3" xfId="0" applyNumberFormat="1" applyFont="1" applyFill="1" applyBorder="1" applyAlignment="1" applyProtection="1">
      <alignment horizontal="center" wrapText="1"/>
      <protection/>
    </xf>
    <xf numFmtId="0" fontId="1" fillId="7" borderId="0" xfId="23" applyFont="1" applyFill="1">
      <alignment/>
      <protection/>
    </xf>
    <xf numFmtId="0" fontId="18" fillId="7" borderId="4" xfId="23" applyFont="1" applyFill="1" applyBorder="1" applyAlignment="1">
      <alignment vertical="center"/>
      <protection/>
    </xf>
    <xf numFmtId="0" fontId="13" fillId="7" borderId="5" xfId="23" applyFont="1" applyFill="1" applyBorder="1" applyAlignment="1">
      <alignment vertical="center"/>
      <protection/>
    </xf>
    <xf numFmtId="0" fontId="1" fillId="7" borderId="5" xfId="23" applyFont="1" applyFill="1" applyBorder="1" applyAlignment="1">
      <alignment vertical="center"/>
      <protection/>
    </xf>
    <xf numFmtId="4" fontId="18" fillId="7" borderId="22" xfId="23" applyNumberFormat="1" applyFont="1" applyFill="1" applyBorder="1" applyAlignment="1">
      <alignment horizontal="right" vertical="center"/>
      <protection/>
    </xf>
    <xf numFmtId="4" fontId="18" fillId="7" borderId="23" xfId="23" applyNumberFormat="1" applyFont="1" applyFill="1" applyBorder="1" applyAlignment="1">
      <alignment horizontal="right" vertical="center"/>
      <protection/>
    </xf>
    <xf numFmtId="3" fontId="18" fillId="7" borderId="24" xfId="23" applyNumberFormat="1" applyFont="1" applyFill="1" applyBorder="1" applyAlignment="1">
      <alignment horizontal="right" vertical="center"/>
      <protection/>
    </xf>
    <xf numFmtId="0" fontId="19" fillId="7" borderId="4" xfId="23" applyFont="1" applyFill="1" applyBorder="1" applyAlignment="1">
      <alignment vertical="center"/>
      <protection/>
    </xf>
    <xf numFmtId="49" fontId="19" fillId="7" borderId="5" xfId="23" applyNumberFormat="1" applyFont="1" applyFill="1" applyBorder="1" applyAlignment="1">
      <alignment horizontal="left" vertical="center"/>
      <protection/>
    </xf>
    <xf numFmtId="0" fontId="19" fillId="7" borderId="5" xfId="23" applyFont="1" applyFill="1" applyBorder="1" applyAlignment="1">
      <alignment vertical="center"/>
      <protection/>
    </xf>
    <xf numFmtId="165" fontId="14" fillId="7" borderId="6" xfId="23" applyNumberFormat="1" applyFont="1" applyFill="1" applyBorder="1">
      <alignment/>
      <protection/>
    </xf>
    <xf numFmtId="3" fontId="19" fillId="7" borderId="15" xfId="23" applyNumberFormat="1" applyFont="1" applyFill="1" applyBorder="1" applyAlignment="1">
      <alignment horizontal="right" vertical="center"/>
      <protection/>
    </xf>
    <xf numFmtId="0" fontId="7" fillId="7" borderId="25" xfId="0" applyFont="1" applyFill="1" applyBorder="1" applyAlignment="1" applyProtection="1">
      <alignment horizontal="left"/>
      <protection/>
    </xf>
    <xf numFmtId="0" fontId="9" fillId="7" borderId="26" xfId="0" applyFont="1" applyFill="1" applyBorder="1" applyAlignment="1" applyProtection="1">
      <alignment horizontal="center"/>
      <protection/>
    </xf>
    <xf numFmtId="164" fontId="9" fillId="7" borderId="26" xfId="0" applyNumberFormat="1" applyFont="1" applyFill="1" applyBorder="1" applyAlignment="1" applyProtection="1">
      <alignment horizontal="right"/>
      <protection/>
    </xf>
    <xf numFmtId="39" fontId="9" fillId="7" borderId="26" xfId="0" applyNumberFormat="1" applyFont="1" applyFill="1" applyBorder="1" applyAlignment="1" applyProtection="1">
      <alignment horizontal="right"/>
      <protection/>
    </xf>
    <xf numFmtId="39" fontId="7" fillId="7" borderId="1" xfId="0" applyNumberFormat="1" applyFont="1" applyFill="1" applyBorder="1" applyAlignment="1" applyProtection="1">
      <alignment horizontal="right"/>
      <protection/>
    </xf>
    <xf numFmtId="0" fontId="27" fillId="0" borderId="3" xfId="0" applyFont="1" applyFill="1" applyBorder="1" applyAlignment="1" applyProtection="1">
      <alignment horizontal="left" wrapText="1"/>
      <protection/>
    </xf>
    <xf numFmtId="2" fontId="27" fillId="0" borderId="3" xfId="0" applyNumberFormat="1" applyFont="1" applyFill="1" applyBorder="1" applyAlignment="1" applyProtection="1">
      <alignment horizontal="right"/>
      <protection/>
    </xf>
    <xf numFmtId="39" fontId="27" fillId="0" borderId="3" xfId="0" applyNumberFormat="1" applyFont="1" applyFill="1" applyBorder="1" applyAlignment="1" applyProtection="1">
      <alignment horizontal="right"/>
      <protection/>
    </xf>
    <xf numFmtId="0" fontId="28" fillId="0" borderId="0" xfId="0" applyFont="1"/>
    <xf numFmtId="0" fontId="28" fillId="0" borderId="0" xfId="0" applyFont="1" applyAlignment="1" applyProtection="1">
      <alignment horizontal="left" vertical="top"/>
      <protection locked="0"/>
    </xf>
    <xf numFmtId="0" fontId="4" fillId="0" borderId="3" xfId="22" applyNumberFormat="1" applyFont="1" applyFill="1" applyBorder="1" applyAlignment="1" applyProtection="1">
      <alignment horizontal="left" wrapText="1"/>
      <protection/>
    </xf>
    <xf numFmtId="0" fontId="4" fillId="0" borderId="3" xfId="22" applyFont="1" applyFill="1" applyBorder="1" applyAlignment="1" applyProtection="1">
      <alignment horizontal="left" wrapText="1"/>
      <protection/>
    </xf>
    <xf numFmtId="2" fontId="4" fillId="0" borderId="3" xfId="22" applyNumberFormat="1" applyFont="1" applyFill="1" applyBorder="1" applyAlignment="1" applyProtection="1">
      <alignment horizontal="right"/>
      <protection/>
    </xf>
    <xf numFmtId="0" fontId="0" fillId="0" borderId="0" xfId="22" applyFill="1" applyAlignment="1" applyProtection="1">
      <alignment horizontal="left" vertical="top"/>
      <protection locked="0"/>
    </xf>
    <xf numFmtId="0" fontId="0" fillId="0" borderId="0" xfId="22" applyAlignment="1" applyProtection="1">
      <alignment horizontal="left" vertical="top"/>
      <protection locked="0"/>
    </xf>
    <xf numFmtId="0" fontId="0" fillId="0" borderId="0" xfId="22">
      <alignment/>
      <protection/>
    </xf>
    <xf numFmtId="0" fontId="12" fillId="0" borderId="3" xfId="22" applyFont="1" applyFill="1" applyBorder="1" applyAlignment="1" applyProtection="1">
      <alignment horizontal="left" vertical="center" wrapText="1"/>
      <protection/>
    </xf>
    <xf numFmtId="0" fontId="11" fillId="0" borderId="3" xfId="22" applyFont="1" applyFill="1" applyBorder="1" applyAlignment="1" applyProtection="1">
      <alignment horizontal="left" wrapText="1"/>
      <protection/>
    </xf>
    <xf numFmtId="2" fontId="11" fillId="0" borderId="3" xfId="22" applyNumberFormat="1" applyFont="1" applyFill="1" applyBorder="1" applyAlignment="1" applyProtection="1">
      <alignment horizontal="right"/>
      <protection/>
    </xf>
    <xf numFmtId="166" fontId="0" fillId="0" borderId="0" xfId="22" applyNumberFormat="1" applyFill="1" applyAlignment="1" applyProtection="1">
      <alignment horizontal="left" vertical="top"/>
      <protection locked="0"/>
    </xf>
    <xf numFmtId="0" fontId="0" fillId="0" borderId="0" xfId="22" applyAlignment="1" applyProtection="1">
      <alignment horizontal="left" vertical="center"/>
      <protection locked="0"/>
    </xf>
    <xf numFmtId="0" fontId="0" fillId="0" borderId="0" xfId="22" applyFill="1" applyAlignment="1" applyProtection="1">
      <alignment vertical="top"/>
      <protection locked="0"/>
    </xf>
    <xf numFmtId="0" fontId="0" fillId="0" borderId="0" xfId="22" applyAlignment="1" applyProtection="1">
      <alignment vertical="top"/>
      <protection locked="0"/>
    </xf>
    <xf numFmtId="37" fontId="4" fillId="0" borderId="3" xfId="0" applyNumberFormat="1" applyFont="1" applyFill="1" applyBorder="1" applyAlignment="1" applyProtection="1">
      <alignment horizontal="center"/>
      <protection/>
    </xf>
    <xf numFmtId="37" fontId="7" fillId="0" borderId="3" xfId="0" applyNumberFormat="1" applyFont="1" applyFill="1" applyBorder="1" applyAlignment="1" applyProtection="1">
      <alignment horizontal="center"/>
      <protection/>
    </xf>
    <xf numFmtId="37" fontId="27" fillId="0" borderId="3" xfId="0" applyNumberFormat="1" applyFont="1" applyFill="1" applyBorder="1" applyAlignment="1" applyProtection="1">
      <alignment horizontal="center"/>
      <protection/>
    </xf>
    <xf numFmtId="37" fontId="7" fillId="0" borderId="2" xfId="0" applyNumberFormat="1" applyFont="1" applyFill="1" applyBorder="1" applyAlignment="1" applyProtection="1">
      <alignment horizontal="center"/>
      <protection/>
    </xf>
    <xf numFmtId="37" fontId="11" fillId="0" borderId="3" xfId="0" applyNumberFormat="1" applyFont="1" applyFill="1" applyBorder="1" applyAlignment="1" applyProtection="1">
      <alignment horizontal="center"/>
      <protection/>
    </xf>
    <xf numFmtId="39" fontId="4" fillId="0" borderId="3" xfId="0" applyNumberFormat="1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 vertical="top"/>
      <protection locked="0"/>
    </xf>
    <xf numFmtId="49" fontId="27" fillId="0" borderId="3" xfId="0" applyNumberFormat="1" applyFont="1" applyFill="1" applyBorder="1" applyAlignment="1" applyProtection="1">
      <alignment horizontal="center" wrapText="1"/>
      <protection/>
    </xf>
    <xf numFmtId="49" fontId="27" fillId="0" borderId="3" xfId="0" applyNumberFormat="1" applyFont="1" applyFill="1" applyBorder="1" applyAlignment="1" applyProtection="1">
      <alignment horizontal="left" wrapText="1"/>
      <protection/>
    </xf>
    <xf numFmtId="49" fontId="14" fillId="0" borderId="17" xfId="23" applyNumberFormat="1" applyFont="1" applyFill="1" applyBorder="1" applyAlignment="1">
      <alignment horizontal="left"/>
      <protection/>
    </xf>
    <xf numFmtId="0" fontId="14" fillId="0" borderId="27" xfId="23" applyFont="1" applyFill="1" applyBorder="1" applyAlignment="1">
      <alignment horizontal="left"/>
      <protection/>
    </xf>
    <xf numFmtId="0" fontId="5" fillId="0" borderId="28" xfId="23" applyFill="1" applyBorder="1" applyAlignment="1">
      <alignment/>
      <protection/>
    </xf>
    <xf numFmtId="0" fontId="5" fillId="0" borderId="29" xfId="23" applyFill="1" applyBorder="1" applyAlignment="1">
      <alignment/>
      <protection/>
    </xf>
    <xf numFmtId="3" fontId="14" fillId="0" borderId="19" xfId="23" applyNumberFormat="1" applyFont="1" applyFill="1" applyBorder="1" applyAlignment="1">
      <alignment horizontal="right"/>
      <protection/>
    </xf>
    <xf numFmtId="49" fontId="30" fillId="0" borderId="3" xfId="20" applyNumberFormat="1" applyFont="1" applyFill="1" applyBorder="1" applyAlignment="1" applyProtection="1">
      <alignment horizontal="left" wrapText="1"/>
      <protection/>
    </xf>
    <xf numFmtId="0" fontId="30" fillId="0" borderId="3" xfId="20" applyFont="1" applyFill="1" applyBorder="1" applyAlignment="1" applyProtection="1">
      <alignment horizontal="left" wrapText="1"/>
      <protection/>
    </xf>
    <xf numFmtId="164" fontId="30" fillId="0" borderId="3" xfId="20" applyNumberFormat="1" applyFont="1" applyFill="1" applyBorder="1" applyAlignment="1" applyProtection="1">
      <alignment horizontal="right"/>
      <protection/>
    </xf>
    <xf numFmtId="0" fontId="3" fillId="0" borderId="0" xfId="20" applyAlignment="1" applyProtection="1">
      <alignment horizontal="left" vertical="top"/>
      <protection locked="0"/>
    </xf>
    <xf numFmtId="0" fontId="30" fillId="0" borderId="3" xfId="22" applyFont="1" applyFill="1" applyBorder="1" applyAlignment="1" applyProtection="1">
      <alignment horizontal="left" wrapText="1"/>
      <protection/>
    </xf>
    <xf numFmtId="49" fontId="30" fillId="0" borderId="3" xfId="22" applyNumberFormat="1" applyFont="1" applyFill="1" applyBorder="1" applyAlignment="1" applyProtection="1">
      <alignment horizontal="left" wrapText="1"/>
      <protection/>
    </xf>
    <xf numFmtId="2" fontId="30" fillId="0" borderId="3" xfId="22" applyNumberFormat="1" applyFont="1" applyFill="1" applyBorder="1" applyAlignment="1" applyProtection="1">
      <alignment horizontal="right"/>
      <protection/>
    </xf>
    <xf numFmtId="49" fontId="4" fillId="0" borderId="3" xfId="22" applyNumberFormat="1" applyFont="1" applyFill="1" applyBorder="1" applyAlignment="1" applyProtection="1">
      <alignment horizontal="left" wrapText="1"/>
      <protection/>
    </xf>
    <xf numFmtId="49" fontId="12" fillId="0" borderId="3" xfId="22" applyNumberFormat="1" applyFont="1" applyFill="1" applyBorder="1" applyAlignment="1" applyProtection="1">
      <alignment horizontal="left" wrapText="1"/>
      <protection/>
    </xf>
    <xf numFmtId="0" fontId="12" fillId="0" borderId="3" xfId="22" applyFont="1" applyFill="1" applyBorder="1" applyAlignment="1" applyProtection="1">
      <alignment horizontal="left" wrapText="1"/>
      <protection/>
    </xf>
    <xf numFmtId="39" fontId="30" fillId="0" borderId="3" xfId="22" applyNumberFormat="1" applyFont="1" applyFill="1" applyBorder="1" applyAlignment="1" applyProtection="1">
      <alignment horizontal="right"/>
      <protection/>
    </xf>
    <xf numFmtId="37" fontId="12" fillId="0" borderId="3" xfId="22" applyNumberFormat="1" applyFont="1" applyFill="1" applyBorder="1" applyAlignment="1" applyProtection="1">
      <alignment horizontal="center"/>
      <protection/>
    </xf>
    <xf numFmtId="39" fontId="4" fillId="0" borderId="3" xfId="22" applyNumberFormat="1" applyFont="1" applyFill="1" applyBorder="1" applyAlignment="1" applyProtection="1">
      <alignment horizontal="center"/>
      <protection/>
    </xf>
    <xf numFmtId="0" fontId="5" fillId="0" borderId="0" xfId="43" applyFont="1" applyProtection="1">
      <alignment/>
      <protection locked="0"/>
    </xf>
    <xf numFmtId="0" fontId="4" fillId="0" borderId="0" xfId="43" applyFont="1" applyProtection="1">
      <alignment/>
      <protection locked="0"/>
    </xf>
    <xf numFmtId="2" fontId="4" fillId="0" borderId="0" xfId="43" applyNumberFormat="1" applyFont="1" applyProtection="1">
      <alignment/>
      <protection locked="0"/>
    </xf>
    <xf numFmtId="2" fontId="4" fillId="0" borderId="0" xfId="43" applyNumberFormat="1" applyFont="1" applyAlignment="1" applyProtection="1">
      <alignment horizontal="right"/>
      <protection locked="0"/>
    </xf>
    <xf numFmtId="2" fontId="30" fillId="0" borderId="5" xfId="43" applyNumberFormat="1" applyFont="1" applyBorder="1" applyProtection="1">
      <alignment/>
      <protection locked="0"/>
    </xf>
    <xf numFmtId="0" fontId="4" fillId="0" borderId="0" xfId="43" applyFont="1" applyAlignment="1" applyProtection="1">
      <alignment vertical="top"/>
      <protection locked="0"/>
    </xf>
    <xf numFmtId="2" fontId="4" fillId="0" borderId="0" xfId="43" applyNumberFormat="1" applyFont="1" applyAlignment="1" applyProtection="1">
      <alignment vertical="top"/>
      <protection locked="0"/>
    </xf>
    <xf numFmtId="2" fontId="5" fillId="0" borderId="0" xfId="43" applyNumberFormat="1" applyFont="1" applyProtection="1">
      <alignment/>
      <protection locked="0"/>
    </xf>
    <xf numFmtId="0" fontId="4" fillId="0" borderId="0" xfId="43" applyFont="1" applyAlignment="1" applyProtection="1">
      <alignment wrapText="1"/>
      <protection locked="0"/>
    </xf>
    <xf numFmtId="2" fontId="4" fillId="0" borderId="0" xfId="43" applyNumberFormat="1" applyFont="1" applyAlignment="1" applyProtection="1">
      <alignment wrapText="1"/>
      <protection locked="0"/>
    </xf>
    <xf numFmtId="2" fontId="4" fillId="0" borderId="0" xfId="43" applyNumberFormat="1" applyFont="1" applyAlignment="1" applyProtection="1">
      <alignment horizontal="right" wrapText="1"/>
      <protection locked="0"/>
    </xf>
    <xf numFmtId="2" fontId="6" fillId="0" borderId="0" xfId="43" applyNumberFormat="1" applyFont="1" applyAlignment="1" applyProtection="1">
      <alignment vertical="top" wrapText="1"/>
      <protection locked="0"/>
    </xf>
    <xf numFmtId="2" fontId="4" fillId="0" borderId="0" xfId="43" applyNumberFormat="1" applyFont="1" applyAlignment="1" applyProtection="1">
      <alignment vertical="top" wrapText="1"/>
      <protection locked="0"/>
    </xf>
    <xf numFmtId="0" fontId="31" fillId="0" borderId="0" xfId="43" applyFont="1" applyProtection="1">
      <alignment/>
      <protection locked="0"/>
    </xf>
    <xf numFmtId="2" fontId="31" fillId="0" borderId="0" xfId="43" applyNumberFormat="1" applyFont="1" applyProtection="1">
      <alignment/>
      <protection locked="0"/>
    </xf>
    <xf numFmtId="2" fontId="31" fillId="0" borderId="0" xfId="43" applyNumberFormat="1" applyFont="1" applyAlignment="1" applyProtection="1">
      <alignment vertical="top"/>
      <protection locked="0"/>
    </xf>
    <xf numFmtId="2" fontId="4" fillId="0" borderId="0" xfId="43" applyNumberFormat="1" applyFont="1" applyAlignment="1" applyProtection="1">
      <alignment/>
      <protection locked="0"/>
    </xf>
    <xf numFmtId="0" fontId="32" fillId="0" borderId="0" xfId="43" applyFont="1" applyProtection="1">
      <alignment/>
      <protection locked="0"/>
    </xf>
    <xf numFmtId="2" fontId="32" fillId="0" borderId="0" xfId="43" applyNumberFormat="1" applyFont="1" applyProtection="1">
      <alignment/>
      <protection locked="0"/>
    </xf>
    <xf numFmtId="2" fontId="6" fillId="0" borderId="0" xfId="43" applyNumberFormat="1" applyFont="1" applyProtection="1">
      <alignment/>
      <protection locked="0"/>
    </xf>
    <xf numFmtId="2" fontId="4" fillId="0" borderId="5" xfId="43" applyNumberFormat="1" applyFont="1" applyBorder="1" applyAlignment="1" applyProtection="1">
      <alignment wrapText="1"/>
      <protection locked="0"/>
    </xf>
    <xf numFmtId="0" fontId="5" fillId="0" borderId="0" xfId="43" applyFont="1" applyAlignment="1" applyProtection="1">
      <alignment wrapText="1"/>
      <protection locked="0"/>
    </xf>
    <xf numFmtId="2" fontId="5" fillId="0" borderId="0" xfId="43" applyNumberFormat="1" applyFont="1" applyAlignment="1" applyProtection="1">
      <alignment wrapText="1"/>
      <protection locked="0"/>
    </xf>
    <xf numFmtId="0" fontId="4" fillId="0" borderId="5" xfId="43" applyFont="1" applyBorder="1" applyProtection="1">
      <alignment/>
      <protection locked="0"/>
    </xf>
    <xf numFmtId="2" fontId="4" fillId="0" borderId="5" xfId="43" applyNumberFormat="1" applyFont="1" applyBorder="1" applyProtection="1">
      <alignment/>
      <protection locked="0"/>
    </xf>
    <xf numFmtId="0" fontId="33" fillId="0" borderId="0" xfId="43" applyFont="1">
      <alignment/>
      <protection/>
    </xf>
    <xf numFmtId="0" fontId="32" fillId="0" borderId="0" xfId="43" applyFont="1" applyAlignment="1" applyProtection="1">
      <alignment wrapText="1"/>
      <protection locked="0"/>
    </xf>
    <xf numFmtId="0" fontId="34" fillId="0" borderId="0" xfId="43" applyFont="1" applyAlignment="1" applyProtection="1">
      <alignment wrapText="1"/>
      <protection locked="0"/>
    </xf>
    <xf numFmtId="0" fontId="27" fillId="0" borderId="0" xfId="43" applyFont="1" applyProtection="1">
      <alignment/>
      <protection locked="0"/>
    </xf>
    <xf numFmtId="0" fontId="35" fillId="0" borderId="0" xfId="43" applyFont="1" applyProtection="1">
      <alignment/>
      <protection locked="0"/>
    </xf>
    <xf numFmtId="0" fontId="27" fillId="0" borderId="0" xfId="43" applyFont="1" applyAlignment="1" applyProtection="1">
      <alignment wrapText="1"/>
      <protection locked="0"/>
    </xf>
    <xf numFmtId="2" fontId="30" fillId="0" borderId="5" xfId="43" applyNumberFormat="1" applyFont="1" applyBorder="1" applyAlignment="1" applyProtection="1">
      <alignment wrapText="1"/>
      <protection locked="0"/>
    </xf>
    <xf numFmtId="2" fontId="27" fillId="0" borderId="0" xfId="43" applyNumberFormat="1" applyFont="1" applyAlignment="1" applyProtection="1">
      <alignment wrapText="1"/>
      <protection locked="0"/>
    </xf>
    <xf numFmtId="0" fontId="5" fillId="0" borderId="0" xfId="43" applyFont="1" applyAlignment="1" applyProtection="1">
      <alignment/>
      <protection locked="0"/>
    </xf>
    <xf numFmtId="0" fontId="4" fillId="0" borderId="0" xfId="41" applyFont="1">
      <alignment/>
      <protection/>
    </xf>
    <xf numFmtId="0" fontId="5" fillId="0" borderId="0" xfId="41">
      <alignment/>
      <protection/>
    </xf>
    <xf numFmtId="0" fontId="4" fillId="0" borderId="0" xfId="41" applyFont="1" applyAlignment="1">
      <alignment wrapText="1"/>
      <protection/>
    </xf>
    <xf numFmtId="2" fontId="4" fillId="0" borderId="0" xfId="41" applyNumberFormat="1" applyFont="1" applyAlignment="1">
      <alignment horizontal="left"/>
      <protection/>
    </xf>
    <xf numFmtId="0" fontId="4" fillId="0" borderId="0" xfId="41" applyFont="1" applyAlignment="1">
      <alignment horizontal="left"/>
      <protection/>
    </xf>
    <xf numFmtId="0" fontId="5" fillId="0" borderId="0" xfId="41" applyAlignment="1">
      <alignment horizontal="left"/>
      <protection/>
    </xf>
    <xf numFmtId="2" fontId="4" fillId="0" borderId="0" xfId="41" applyNumberFormat="1" applyFont="1">
      <alignment/>
      <protection/>
    </xf>
    <xf numFmtId="2" fontId="4" fillId="0" borderId="0" xfId="41" applyNumberFormat="1" applyFont="1" applyAlignment="1">
      <alignment horizontal="right"/>
      <protection/>
    </xf>
    <xf numFmtId="0" fontId="36" fillId="0" borderId="0" xfId="41" applyFont="1">
      <alignment/>
      <protection/>
    </xf>
    <xf numFmtId="0" fontId="38" fillId="0" borderId="0" xfId="41" applyFont="1" applyAlignment="1">
      <alignment vertical="center"/>
      <protection/>
    </xf>
    <xf numFmtId="0" fontId="39" fillId="0" borderId="0" xfId="41" applyFont="1" applyAlignment="1">
      <alignment vertical="center"/>
      <protection/>
    </xf>
    <xf numFmtId="0" fontId="40" fillId="0" borderId="0" xfId="41" applyFont="1" applyAlignment="1">
      <alignment horizontal="center" vertical="center" wrapText="1"/>
      <protection/>
    </xf>
    <xf numFmtId="0" fontId="41" fillId="0" borderId="0" xfId="41" applyFont="1" applyAlignment="1">
      <alignment horizontal="center" vertical="center" wrapText="1"/>
      <protection/>
    </xf>
    <xf numFmtId="0" fontId="22" fillId="0" borderId="0" xfId="41" applyFont="1">
      <alignment/>
      <protection/>
    </xf>
    <xf numFmtId="0" fontId="5" fillId="0" borderId="0" xfId="41" applyAlignment="1">
      <alignment horizontal="center"/>
      <protection/>
    </xf>
    <xf numFmtId="0" fontId="36" fillId="0" borderId="0" xfId="41" applyFont="1" applyAlignment="1">
      <alignment vertical="center"/>
      <protection/>
    </xf>
    <xf numFmtId="0" fontId="4" fillId="0" borderId="0" xfId="41" applyFont="1" applyAlignment="1">
      <alignment horizontal="center" vertical="center"/>
      <protection/>
    </xf>
    <xf numFmtId="0" fontId="5" fillId="0" borderId="0" xfId="41" applyAlignment="1">
      <alignment vertical="center"/>
      <protection/>
    </xf>
    <xf numFmtId="0" fontId="5" fillId="0" borderId="0" xfId="41" applyFont="1" applyAlignment="1">
      <alignment vertical="center"/>
      <protection/>
    </xf>
    <xf numFmtId="0" fontId="5" fillId="0" borderId="0" xfId="41" applyAlignment="1">
      <alignment horizontal="center" vertical="center"/>
      <protection/>
    </xf>
    <xf numFmtId="4" fontId="5" fillId="0" borderId="0" xfId="41" applyNumberFormat="1" applyAlignment="1">
      <alignment vertical="center"/>
      <protection/>
    </xf>
    <xf numFmtId="0" fontId="34" fillId="0" borderId="0" xfId="41" applyFont="1" applyAlignment="1">
      <alignment horizontal="center" vertical="center"/>
      <protection/>
    </xf>
    <xf numFmtId="0" fontId="5" fillId="0" borderId="0" xfId="41" applyFont="1" applyAlignment="1">
      <alignment vertical="center" wrapText="1"/>
      <protection/>
    </xf>
    <xf numFmtId="3" fontId="42" fillId="0" borderId="0" xfId="41" applyNumberFormat="1" applyFont="1" applyBorder="1" applyAlignment="1">
      <alignment horizontal="right" vertical="center"/>
      <protection/>
    </xf>
    <xf numFmtId="3" fontId="42" fillId="0" borderId="0" xfId="41" applyNumberFormat="1" applyFont="1" applyBorder="1" applyAlignment="1">
      <alignment horizontal="right"/>
      <protection/>
    </xf>
    <xf numFmtId="3" fontId="5" fillId="0" borderId="0" xfId="41" applyNumberFormat="1">
      <alignment/>
      <protection/>
    </xf>
    <xf numFmtId="0" fontId="43" fillId="0" borderId="0" xfId="41" applyFont="1" applyAlignment="1">
      <alignment horizontal="justify"/>
      <protection/>
    </xf>
    <xf numFmtId="0" fontId="5" fillId="0" borderId="0" xfId="41" applyFont="1">
      <alignment/>
      <protection/>
    </xf>
    <xf numFmtId="3" fontId="39" fillId="0" borderId="0" xfId="41" applyNumberFormat="1" applyFont="1" applyBorder="1" applyAlignment="1">
      <alignment horizontal="center"/>
      <protection/>
    </xf>
    <xf numFmtId="49" fontId="38" fillId="0" borderId="0" xfId="41" applyNumberFormat="1" applyFont="1" applyAlignment="1">
      <alignment horizontal="left"/>
      <protection/>
    </xf>
    <xf numFmtId="0" fontId="38" fillId="0" borderId="0" xfId="41" applyFont="1" applyAlignment="1">
      <alignment horizontal="left"/>
      <protection/>
    </xf>
    <xf numFmtId="0" fontId="38" fillId="0" borderId="0" xfId="41" applyFont="1" applyAlignment="1">
      <alignment/>
      <protection/>
    </xf>
    <xf numFmtId="3" fontId="38" fillId="0" borderId="0" xfId="41" applyNumberFormat="1" applyFont="1" applyBorder="1" applyAlignment="1">
      <alignment horizontal="right" vertical="top"/>
      <protection/>
    </xf>
    <xf numFmtId="0" fontId="38" fillId="0" borderId="0" xfId="41" applyFont="1" applyAlignment="1">
      <alignment horizontal="right" vertical="top"/>
      <protection/>
    </xf>
    <xf numFmtId="0" fontId="5" fillId="0" borderId="0" xfId="41" applyFont="1" applyAlignment="1">
      <alignment horizontal="right" vertical="top"/>
      <protection/>
    </xf>
    <xf numFmtId="0" fontId="37" fillId="0" borderId="0" xfId="41" applyFont="1" applyAlignment="1">
      <alignment horizontal="left"/>
      <protection/>
    </xf>
    <xf numFmtId="0" fontId="37" fillId="0" borderId="0" xfId="41" applyFont="1" applyAlignment="1">
      <alignment/>
      <protection/>
    </xf>
    <xf numFmtId="49" fontId="42" fillId="0" borderId="0" xfId="41" applyNumberFormat="1" applyFont="1" applyAlignment="1">
      <alignment horizontal="left"/>
      <protection/>
    </xf>
    <xf numFmtId="0" fontId="44" fillId="0" borderId="0" xfId="41" applyFont="1" applyAlignment="1">
      <alignment/>
      <protection/>
    </xf>
    <xf numFmtId="37" fontId="4" fillId="0" borderId="3" xfId="0" applyNumberFormat="1" applyFont="1" applyFill="1" applyBorder="1" applyAlignment="1" applyProtection="1">
      <alignment/>
      <protection/>
    </xf>
    <xf numFmtId="37" fontId="30" fillId="0" borderId="3" xfId="22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37" fontId="30" fillId="0" borderId="3" xfId="2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 vertical="top"/>
      <protection locked="0"/>
    </xf>
    <xf numFmtId="0" fontId="24" fillId="0" borderId="0" xfId="0" applyFont="1" applyAlignment="1" applyProtection="1">
      <alignment horizontal="left" vertical="top"/>
      <protection locked="0"/>
    </xf>
    <xf numFmtId="0" fontId="16" fillId="0" borderId="0" xfId="23" applyFont="1" applyAlignment="1">
      <alignment horizontal="center"/>
      <protection/>
    </xf>
    <xf numFmtId="0" fontId="5" fillId="0" borderId="0" xfId="23" applyAlignment="1">
      <alignment horizontal="center"/>
      <protection/>
    </xf>
    <xf numFmtId="0" fontId="1" fillId="0" borderId="0" xfId="23" applyFont="1" applyAlignment="1">
      <alignment horizontal="center"/>
      <protection/>
    </xf>
    <xf numFmtId="0" fontId="14" fillId="0" borderId="27" xfId="23" applyFont="1" applyBorder="1" applyAlignment="1">
      <alignment horizontal="left"/>
      <protection/>
    </xf>
    <xf numFmtId="0" fontId="5" fillId="0" borderId="28" xfId="23" applyBorder="1" applyAlignment="1">
      <alignment/>
      <protection/>
    </xf>
    <xf numFmtId="0" fontId="5" fillId="0" borderId="29" xfId="23" applyBorder="1" applyAlignment="1">
      <alignment/>
      <protection/>
    </xf>
    <xf numFmtId="39" fontId="24" fillId="0" borderId="0" xfId="0" applyNumberFormat="1" applyFont="1" applyAlignment="1" applyProtection="1">
      <alignment horizontal="left" vertical="top"/>
      <protection locked="0"/>
    </xf>
    <xf numFmtId="39" fontId="24" fillId="0" borderId="0" xfId="0" applyNumberFormat="1" applyFont="1" applyFill="1" applyAlignment="1" applyProtection="1">
      <alignment vertical="top"/>
      <protection locked="0"/>
    </xf>
    <xf numFmtId="4" fontId="4" fillId="0" borderId="20" xfId="25" applyNumberFormat="1" applyFont="1" applyFill="1" applyBorder="1" applyAlignment="1" applyProtection="1">
      <alignment vertical="center" wrapText="1"/>
      <protection locked="0"/>
    </xf>
    <xf numFmtId="4" fontId="4" fillId="0" borderId="20" xfId="35" applyNumberFormat="1" applyFont="1" applyFill="1" applyBorder="1" applyAlignment="1" applyProtection="1">
      <alignment vertical="center" wrapText="1"/>
      <protection locked="0"/>
    </xf>
    <xf numFmtId="39" fontId="4" fillId="0" borderId="3" xfId="0" applyNumberFormat="1" applyFont="1" applyFill="1" applyBorder="1" applyAlignment="1" applyProtection="1">
      <alignment horizontal="right"/>
      <protection locked="0"/>
    </xf>
    <xf numFmtId="39" fontId="7" fillId="0" borderId="3" xfId="0" applyNumberFormat="1" applyFont="1" applyFill="1" applyBorder="1" applyAlignment="1" applyProtection="1">
      <alignment horizontal="right"/>
      <protection locked="0"/>
    </xf>
    <xf numFmtId="39" fontId="27" fillId="0" borderId="3" xfId="0" applyNumberFormat="1" applyFont="1" applyFill="1" applyBorder="1" applyAlignment="1" applyProtection="1">
      <alignment horizontal="right"/>
      <protection locked="0"/>
    </xf>
    <xf numFmtId="39" fontId="7" fillId="0" borderId="2" xfId="0" applyNumberFormat="1" applyFont="1" applyFill="1" applyBorder="1" applyAlignment="1" applyProtection="1">
      <alignment horizontal="right"/>
      <protection locked="0"/>
    </xf>
    <xf numFmtId="39" fontId="11" fillId="0" borderId="3" xfId="0" applyNumberFormat="1" applyFont="1" applyFill="1" applyBorder="1" applyAlignment="1" applyProtection="1">
      <alignment horizontal="right"/>
      <protection locked="0"/>
    </xf>
    <xf numFmtId="39" fontId="4" fillId="0" borderId="3" xfId="0" applyNumberFormat="1" applyFont="1" applyFill="1" applyBorder="1" applyAlignment="1" applyProtection="1">
      <alignment/>
      <protection locked="0"/>
    </xf>
    <xf numFmtId="39" fontId="12" fillId="0" borderId="3" xfId="22" applyNumberFormat="1" applyFont="1" applyFill="1" applyBorder="1" applyAlignment="1" applyProtection="1">
      <alignment horizontal="center"/>
      <protection locked="0"/>
    </xf>
    <xf numFmtId="39" fontId="30" fillId="0" borderId="3" xfId="20" applyNumberFormat="1" applyFont="1" applyFill="1" applyBorder="1" applyAlignment="1" applyProtection="1">
      <alignment horizontal="right"/>
      <protection locked="0"/>
    </xf>
    <xf numFmtId="39" fontId="30" fillId="0" borderId="3" xfId="22" applyNumberFormat="1" applyFont="1" applyFill="1" applyBorder="1" applyAlignment="1" applyProtection="1">
      <alignment horizontal="right"/>
      <protection locked="0"/>
    </xf>
    <xf numFmtId="39" fontId="7" fillId="0" borderId="3" xfId="0" applyNumberFormat="1" applyFont="1" applyFill="1" applyBorder="1" applyAlignment="1" applyProtection="1">
      <alignment/>
      <protection locked="0"/>
    </xf>
    <xf numFmtId="0" fontId="30" fillId="8" borderId="4" xfId="43" applyFont="1" applyFill="1" applyBorder="1" applyAlignment="1" applyProtection="1">
      <alignment wrapText="1"/>
      <protection/>
    </xf>
    <xf numFmtId="0" fontId="30" fillId="8" borderId="5" xfId="43" applyFont="1" applyFill="1" applyBorder="1" applyAlignment="1" applyProtection="1">
      <alignment wrapText="1"/>
      <protection/>
    </xf>
    <xf numFmtId="0" fontId="4" fillId="8" borderId="5" xfId="43" applyFont="1" applyFill="1" applyBorder="1" applyAlignment="1" applyProtection="1">
      <alignment wrapText="1"/>
      <protection/>
    </xf>
    <xf numFmtId="2" fontId="4" fillId="8" borderId="5" xfId="43" applyNumberFormat="1" applyFont="1" applyFill="1" applyBorder="1" applyAlignment="1" applyProtection="1">
      <alignment wrapText="1"/>
      <protection/>
    </xf>
    <xf numFmtId="2" fontId="4" fillId="8" borderId="6" xfId="43" applyNumberFormat="1" applyFont="1" applyFill="1" applyBorder="1" applyAlignment="1" applyProtection="1">
      <alignment wrapText="1"/>
      <protection/>
    </xf>
    <xf numFmtId="0" fontId="4" fillId="0" borderId="0" xfId="43" applyFont="1" applyAlignment="1" applyProtection="1">
      <alignment wrapText="1"/>
      <protection/>
    </xf>
    <xf numFmtId="2" fontId="4" fillId="0" borderId="0" xfId="43" applyNumberFormat="1" applyFont="1" applyAlignment="1" applyProtection="1">
      <alignment wrapText="1"/>
      <protection/>
    </xf>
    <xf numFmtId="0" fontId="4" fillId="0" borderId="0" xfId="43" applyFont="1" applyAlignment="1" applyProtection="1">
      <alignment horizontal="left"/>
      <protection/>
    </xf>
    <xf numFmtId="0" fontId="4" fillId="0" borderId="0" xfId="43" applyFont="1" applyAlignment="1" applyProtection="1">
      <alignment horizontal="right"/>
      <protection/>
    </xf>
    <xf numFmtId="2" fontId="4" fillId="0" borderId="0" xfId="43" applyNumberFormat="1" applyFont="1" applyAlignment="1" applyProtection="1">
      <alignment horizontal="right"/>
      <protection/>
    </xf>
    <xf numFmtId="0" fontId="30" fillId="0" borderId="4" xfId="43" applyFont="1" applyBorder="1" applyAlignment="1" applyProtection="1">
      <alignment wrapText="1"/>
      <protection/>
    </xf>
    <xf numFmtId="0" fontId="30" fillId="0" borderId="5" xfId="43" applyFont="1" applyBorder="1" applyAlignment="1" applyProtection="1">
      <alignment wrapText="1"/>
      <protection/>
    </xf>
    <xf numFmtId="2" fontId="30" fillId="0" borderId="5" xfId="43" applyNumberFormat="1" applyFont="1" applyBorder="1" applyAlignment="1" applyProtection="1">
      <alignment wrapText="1"/>
      <protection/>
    </xf>
    <xf numFmtId="2" fontId="30" fillId="0" borderId="6" xfId="43" applyNumberFormat="1" applyFont="1" applyBorder="1" applyAlignment="1" applyProtection="1">
      <alignment wrapText="1"/>
      <protection/>
    </xf>
    <xf numFmtId="0" fontId="4" fillId="0" borderId="0" xfId="43" applyFont="1" applyAlignment="1" applyProtection="1">
      <alignment vertical="top" wrapText="1"/>
      <protection/>
    </xf>
    <xf numFmtId="0" fontId="4" fillId="0" borderId="0" xfId="43" applyFont="1" applyAlignment="1" applyProtection="1">
      <alignment horizontal="center" vertical="top" wrapText="1"/>
      <protection/>
    </xf>
    <xf numFmtId="0" fontId="4" fillId="0" borderId="0" xfId="43" applyFont="1" applyAlignment="1" applyProtection="1">
      <alignment horizontal="right" vertical="top" wrapText="1"/>
      <protection/>
    </xf>
    <xf numFmtId="2" fontId="4" fillId="0" borderId="0" xfId="43" applyNumberFormat="1" applyFont="1" applyAlignment="1" applyProtection="1">
      <alignment vertical="top" wrapText="1"/>
      <protection/>
    </xf>
    <xf numFmtId="0" fontId="4" fillId="0" borderId="0" xfId="43" applyFont="1" applyAlignment="1" applyProtection="1">
      <alignment horizontal="center" wrapText="1"/>
      <protection/>
    </xf>
    <xf numFmtId="0" fontId="5" fillId="0" borderId="0" xfId="43" applyFont="1" applyProtection="1">
      <alignment/>
      <protection/>
    </xf>
    <xf numFmtId="2" fontId="5" fillId="0" borderId="0" xfId="43" applyNumberFormat="1" applyFont="1" applyProtection="1">
      <alignment/>
      <protection/>
    </xf>
    <xf numFmtId="2" fontId="30" fillId="0" borderId="15" xfId="43" applyNumberFormat="1" applyFont="1" applyBorder="1" applyAlignment="1" applyProtection="1">
      <alignment wrapText="1"/>
      <protection/>
    </xf>
    <xf numFmtId="0" fontId="4" fillId="0" borderId="0" xfId="43" applyFont="1" applyAlignment="1" applyProtection="1">
      <alignment/>
      <protection/>
    </xf>
    <xf numFmtId="0" fontId="4" fillId="0" borderId="0" xfId="43" applyFont="1" applyAlignment="1" applyProtection="1">
      <alignment horizontal="right" wrapText="1"/>
      <protection/>
    </xf>
    <xf numFmtId="0" fontId="4" fillId="0" borderId="4" xfId="43" applyFont="1" applyBorder="1" applyAlignment="1" applyProtection="1">
      <alignment wrapText="1"/>
      <protection/>
    </xf>
    <xf numFmtId="0" fontId="4" fillId="0" borderId="5" xfId="43" applyFont="1" applyBorder="1" applyAlignment="1" applyProtection="1">
      <alignment wrapText="1"/>
      <protection/>
    </xf>
    <xf numFmtId="2" fontId="4" fillId="0" borderId="6" xfId="43" applyNumberFormat="1" applyFont="1" applyBorder="1" applyAlignment="1" applyProtection="1">
      <alignment wrapText="1"/>
      <protection/>
    </xf>
    <xf numFmtId="2" fontId="4" fillId="0" borderId="0" xfId="43" applyNumberFormat="1" applyFont="1" applyAlignment="1" applyProtection="1">
      <alignment horizontal="right" wrapText="1"/>
      <protection/>
    </xf>
    <xf numFmtId="2" fontId="4" fillId="0" borderId="0" xfId="43" applyNumberFormat="1" applyFont="1" applyAlignment="1" applyProtection="1">
      <alignment/>
      <protection/>
    </xf>
    <xf numFmtId="0" fontId="4" fillId="0" borderId="0" xfId="43" applyFont="1" applyProtection="1">
      <alignment/>
      <protection/>
    </xf>
    <xf numFmtId="2" fontId="4" fillId="0" borderId="0" xfId="43" applyNumberFormat="1" applyFont="1" applyProtection="1">
      <alignment/>
      <protection/>
    </xf>
    <xf numFmtId="0" fontId="6" fillId="0" borderId="0" xfId="43" applyFont="1" applyAlignment="1" applyProtection="1">
      <alignment wrapText="1"/>
      <protection/>
    </xf>
    <xf numFmtId="0" fontId="2" fillId="0" borderId="0" xfId="43" applyFont="1" applyAlignment="1" applyProtection="1">
      <alignment wrapText="1"/>
      <protection/>
    </xf>
    <xf numFmtId="0" fontId="6" fillId="0" borderId="0" xfId="43" applyFont="1" applyAlignment="1" applyProtection="1">
      <alignment/>
      <protection/>
    </xf>
    <xf numFmtId="0" fontId="4" fillId="0" borderId="0" xfId="43" applyFont="1" applyAlignment="1" applyProtection="1">
      <alignment horizontal="center"/>
      <protection/>
    </xf>
    <xf numFmtId="2" fontId="30" fillId="0" borderId="0" xfId="43" applyNumberFormat="1" applyFont="1" applyBorder="1" applyAlignment="1" applyProtection="1">
      <alignment wrapText="1"/>
      <protection/>
    </xf>
    <xf numFmtId="0" fontId="30" fillId="0" borderId="5" xfId="43" applyFont="1" applyBorder="1" applyAlignment="1" applyProtection="1">
      <alignment horizontal="center" wrapText="1"/>
      <protection/>
    </xf>
    <xf numFmtId="0" fontId="6" fillId="0" borderId="0" xfId="43" applyFont="1" applyAlignment="1" applyProtection="1">
      <alignment vertical="top"/>
      <protection/>
    </xf>
    <xf numFmtId="0" fontId="6" fillId="0" borderId="0" xfId="43" applyFont="1" applyAlignment="1" applyProtection="1">
      <alignment horizontal="center" vertical="top"/>
      <protection/>
    </xf>
    <xf numFmtId="0" fontId="4" fillId="0" borderId="0" xfId="43" applyFont="1" applyAlignment="1" applyProtection="1">
      <alignment vertical="top" wrapText="1"/>
      <protection/>
    </xf>
    <xf numFmtId="0" fontId="4" fillId="0" borderId="0" xfId="43" applyFont="1" applyAlignment="1" applyProtection="1">
      <alignment horizontal="right" vertical="top"/>
      <protection/>
    </xf>
    <xf numFmtId="2" fontId="4" fillId="0" borderId="0" xfId="43" applyNumberFormat="1" applyFont="1" applyAlignment="1" applyProtection="1">
      <alignment vertical="top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3" applyFont="1" applyAlignment="1" applyProtection="1">
      <alignment wrapText="1"/>
      <protection/>
    </xf>
    <xf numFmtId="0" fontId="6" fillId="0" borderId="0" xfId="43" applyFont="1" applyAlignment="1" applyProtection="1">
      <alignment horizontal="right"/>
      <protection/>
    </xf>
    <xf numFmtId="0" fontId="6" fillId="0" borderId="0" xfId="43" applyFont="1" applyAlignment="1" applyProtection="1">
      <alignment horizontal="right" vertical="top" wrapText="1"/>
      <protection/>
    </xf>
    <xf numFmtId="0" fontId="6" fillId="0" borderId="0" xfId="43" applyFont="1" applyAlignment="1" applyProtection="1">
      <alignment vertical="top" wrapText="1"/>
      <protection/>
    </xf>
    <xf numFmtId="0" fontId="6" fillId="0" borderId="0" xfId="43" applyFont="1" applyAlignment="1" applyProtection="1">
      <alignment horizontal="center" wrapText="1"/>
      <protection/>
    </xf>
    <xf numFmtId="0" fontId="6" fillId="0" borderId="0" xfId="43" applyFont="1" applyAlignment="1" applyProtection="1">
      <alignment horizontal="center" vertical="top" wrapText="1"/>
      <protection/>
    </xf>
    <xf numFmtId="0" fontId="5" fillId="0" borderId="9" xfId="43" applyFont="1" applyBorder="1" applyAlignment="1" applyProtection="1">
      <alignment wrapText="1"/>
      <protection/>
    </xf>
    <xf numFmtId="0" fontId="5" fillId="0" borderId="10" xfId="43" applyFont="1" applyBorder="1" applyAlignment="1" applyProtection="1">
      <alignment horizontal="center" wrapText="1"/>
      <protection/>
    </xf>
    <xf numFmtId="0" fontId="5" fillId="0" borderId="10" xfId="43" applyFont="1" applyBorder="1" applyAlignment="1" applyProtection="1">
      <alignment wrapText="1"/>
      <protection/>
    </xf>
    <xf numFmtId="2" fontId="5" fillId="0" borderId="10" xfId="43" applyNumberFormat="1" applyFont="1" applyBorder="1" applyAlignment="1" applyProtection="1">
      <alignment wrapText="1"/>
      <protection/>
    </xf>
    <xf numFmtId="2" fontId="5" fillId="0" borderId="11" xfId="43" applyNumberFormat="1" applyFont="1" applyBorder="1" applyAlignment="1" applyProtection="1">
      <alignment wrapText="1"/>
      <protection/>
    </xf>
    <xf numFmtId="0" fontId="23" fillId="0" borderId="7" xfId="43" applyFont="1" applyBorder="1" applyAlignment="1" applyProtection="1">
      <alignment wrapText="1"/>
      <protection/>
    </xf>
    <xf numFmtId="0" fontId="23" fillId="0" borderId="0" xfId="43" applyFont="1" applyAlignment="1" applyProtection="1">
      <alignment horizontal="center" wrapText="1"/>
      <protection/>
    </xf>
    <xf numFmtId="0" fontId="23" fillId="0" borderId="0" xfId="43" applyFont="1" applyAlignment="1" applyProtection="1">
      <alignment wrapText="1"/>
      <protection/>
    </xf>
    <xf numFmtId="2" fontId="23" fillId="0" borderId="0" xfId="43" applyNumberFormat="1" applyFont="1" applyAlignment="1" applyProtection="1">
      <alignment wrapText="1"/>
      <protection/>
    </xf>
    <xf numFmtId="2" fontId="23" fillId="0" borderId="8" xfId="43" applyNumberFormat="1" applyFont="1" applyBorder="1" applyAlignment="1" applyProtection="1">
      <alignment wrapText="1"/>
      <protection/>
    </xf>
    <xf numFmtId="0" fontId="5" fillId="0" borderId="30" xfId="43" applyFont="1" applyBorder="1" applyAlignment="1" applyProtection="1">
      <alignment wrapText="1"/>
      <protection/>
    </xf>
    <xf numFmtId="0" fontId="5" fillId="0" borderId="31" xfId="43" applyFont="1" applyBorder="1" applyAlignment="1" applyProtection="1">
      <alignment horizontal="center" wrapText="1"/>
      <protection/>
    </xf>
    <xf numFmtId="0" fontId="5" fillId="0" borderId="31" xfId="43" applyFont="1" applyBorder="1" applyAlignment="1" applyProtection="1">
      <alignment wrapText="1"/>
      <protection/>
    </xf>
    <xf numFmtId="2" fontId="5" fillId="0" borderId="31" xfId="43" applyNumberFormat="1" applyFont="1" applyBorder="1" applyAlignment="1" applyProtection="1">
      <alignment wrapText="1"/>
      <protection/>
    </xf>
    <xf numFmtId="2" fontId="5" fillId="0" borderId="32" xfId="43" applyNumberFormat="1" applyFont="1" applyBorder="1" applyAlignment="1" applyProtection="1">
      <alignment wrapText="1"/>
      <protection/>
    </xf>
    <xf numFmtId="0" fontId="30" fillId="8" borderId="4" xfId="43" applyFont="1" applyFill="1" applyBorder="1" applyProtection="1">
      <alignment/>
      <protection/>
    </xf>
    <xf numFmtId="0" fontId="30" fillId="8" borderId="5" xfId="43" applyFont="1" applyFill="1" applyBorder="1" applyProtection="1">
      <alignment/>
      <protection/>
    </xf>
    <xf numFmtId="0" fontId="4" fillId="8" borderId="5" xfId="43" applyFont="1" applyFill="1" applyBorder="1" applyProtection="1">
      <alignment/>
      <protection/>
    </xf>
    <xf numFmtId="2" fontId="4" fillId="8" borderId="5" xfId="43" applyNumberFormat="1" applyFont="1" applyFill="1" applyBorder="1" applyProtection="1">
      <alignment/>
      <protection/>
    </xf>
    <xf numFmtId="2" fontId="4" fillId="8" borderId="6" xfId="43" applyNumberFormat="1" applyFont="1" applyFill="1" applyBorder="1" applyProtection="1">
      <alignment/>
      <protection/>
    </xf>
    <xf numFmtId="0" fontId="30" fillId="0" borderId="0" xfId="43" applyFont="1" applyProtection="1">
      <alignment/>
      <protection/>
    </xf>
    <xf numFmtId="0" fontId="30" fillId="0" borderId="4" xfId="43" applyFont="1" applyBorder="1" applyProtection="1">
      <alignment/>
      <protection/>
    </xf>
    <xf numFmtId="0" fontId="30" fillId="0" borderId="5" xfId="43" applyFont="1" applyBorder="1" applyProtection="1">
      <alignment/>
      <protection/>
    </xf>
    <xf numFmtId="0" fontId="30" fillId="0" borderId="5" xfId="43" applyFont="1" applyBorder="1" applyAlignment="1" applyProtection="1">
      <alignment horizontal="right"/>
      <protection/>
    </xf>
    <xf numFmtId="2" fontId="30" fillId="0" borderId="5" xfId="43" applyNumberFormat="1" applyFont="1" applyBorder="1" applyProtection="1">
      <alignment/>
      <protection/>
    </xf>
    <xf numFmtId="2" fontId="30" fillId="0" borderId="6" xfId="43" applyNumberFormat="1" applyFont="1" applyBorder="1" applyProtection="1">
      <alignment/>
      <protection/>
    </xf>
    <xf numFmtId="0" fontId="4" fillId="0" borderId="0" xfId="43" applyFont="1" applyAlignment="1" applyProtection="1">
      <alignment vertical="top"/>
      <protection/>
    </xf>
    <xf numFmtId="0" fontId="4" fillId="0" borderId="0" xfId="43" applyFont="1" applyAlignment="1" applyProtection="1">
      <alignment horizontal="center" vertical="top"/>
      <protection/>
    </xf>
    <xf numFmtId="2" fontId="30" fillId="0" borderId="15" xfId="43" applyNumberFormat="1" applyFont="1" applyBorder="1" applyProtection="1">
      <alignment/>
      <protection/>
    </xf>
    <xf numFmtId="0" fontId="6" fillId="0" borderId="0" xfId="43" applyFont="1" applyProtection="1">
      <alignment/>
      <protection/>
    </xf>
    <xf numFmtId="0" fontId="30" fillId="0" borderId="5" xfId="43" applyFont="1" applyBorder="1" applyAlignment="1" applyProtection="1">
      <alignment horizontal="right" wrapText="1"/>
      <protection/>
    </xf>
    <xf numFmtId="0" fontId="5" fillId="0" borderId="0" xfId="43" applyFont="1" applyAlignment="1" applyProtection="1">
      <alignment wrapText="1"/>
      <protection/>
    </xf>
    <xf numFmtId="0" fontId="5" fillId="0" borderId="0" xfId="43" applyFont="1" applyAlignment="1" applyProtection="1">
      <alignment horizontal="right" wrapText="1"/>
      <protection/>
    </xf>
    <xf numFmtId="0" fontId="4" fillId="0" borderId="0" xfId="43" applyFont="1" applyAlignment="1" applyProtection="1">
      <alignment horizontal="left" vertical="top" wrapText="1"/>
      <protection/>
    </xf>
    <xf numFmtId="0" fontId="4" fillId="0" borderId="0" xfId="43" applyFont="1" applyAlignment="1" applyProtection="1">
      <alignment horizontal="left" vertical="top"/>
      <protection/>
    </xf>
    <xf numFmtId="0" fontId="4" fillId="0" borderId="4" xfId="43" applyFont="1" applyBorder="1" applyProtection="1">
      <alignment/>
      <protection/>
    </xf>
    <xf numFmtId="0" fontId="4" fillId="0" borderId="5" xfId="43" applyFont="1" applyBorder="1" applyProtection="1">
      <alignment/>
      <protection/>
    </xf>
    <xf numFmtId="2" fontId="4" fillId="0" borderId="6" xfId="43" applyNumberFormat="1" applyFont="1" applyBorder="1" applyProtection="1">
      <alignment/>
      <protection/>
    </xf>
    <xf numFmtId="2" fontId="30" fillId="0" borderId="0" xfId="43" applyNumberFormat="1" applyFont="1" applyBorder="1" applyProtection="1">
      <alignment/>
      <protection/>
    </xf>
    <xf numFmtId="0" fontId="4" fillId="0" borderId="5" xfId="43" applyFont="1" applyBorder="1" applyAlignment="1" applyProtection="1">
      <alignment horizontal="center"/>
      <protection/>
    </xf>
    <xf numFmtId="0" fontId="4" fillId="0" borderId="6" xfId="43" applyFont="1" applyBorder="1" applyProtection="1">
      <alignment/>
      <protection/>
    </xf>
    <xf numFmtId="0" fontId="4" fillId="0" borderId="0" xfId="43" applyFont="1" applyAlignment="1" applyProtection="1">
      <alignment horizontal="right" wrapText="1"/>
      <protection/>
    </xf>
    <xf numFmtId="2" fontId="7" fillId="0" borderId="15" xfId="43" applyNumberFormat="1" applyFont="1" applyBorder="1" applyProtection="1">
      <alignment/>
      <protection/>
    </xf>
    <xf numFmtId="0" fontId="4" fillId="0" borderId="9" xfId="43" applyFont="1" applyBorder="1" applyAlignment="1" applyProtection="1">
      <alignment vertical="top"/>
      <protection/>
    </xf>
    <xf numFmtId="0" fontId="4" fillId="0" borderId="10" xfId="43" applyFont="1" applyBorder="1" applyAlignment="1" applyProtection="1">
      <alignment vertical="top"/>
      <protection/>
    </xf>
    <xf numFmtId="0" fontId="4" fillId="0" borderId="10" xfId="43" applyFont="1" applyBorder="1" applyAlignment="1" applyProtection="1">
      <alignment horizontal="right" vertical="top"/>
      <protection/>
    </xf>
    <xf numFmtId="2" fontId="4" fillId="0" borderId="10" xfId="43" applyNumberFormat="1" applyFont="1" applyBorder="1" applyAlignment="1" applyProtection="1">
      <alignment vertical="top"/>
      <protection/>
    </xf>
    <xf numFmtId="2" fontId="4" fillId="0" borderId="11" xfId="43" applyNumberFormat="1" applyFont="1" applyBorder="1" applyAlignment="1" applyProtection="1">
      <alignment vertical="top"/>
      <protection/>
    </xf>
    <xf numFmtId="0" fontId="23" fillId="0" borderId="7" xfId="43" applyFont="1" applyBorder="1" applyAlignment="1" applyProtection="1">
      <alignment vertical="top"/>
      <protection/>
    </xf>
    <xf numFmtId="0" fontId="23" fillId="0" borderId="0" xfId="43" applyFont="1" applyAlignment="1" applyProtection="1">
      <alignment vertical="top"/>
      <protection/>
    </xf>
    <xf numFmtId="0" fontId="23" fillId="0" borderId="0" xfId="43" applyFont="1" applyAlignment="1" applyProtection="1">
      <alignment horizontal="right" vertical="top"/>
      <protection/>
    </xf>
    <xf numFmtId="2" fontId="23" fillId="0" borderId="0" xfId="43" applyNumberFormat="1" applyFont="1" applyAlignment="1" applyProtection="1">
      <alignment vertical="top"/>
      <protection/>
    </xf>
    <xf numFmtId="2" fontId="23" fillId="0" borderId="8" xfId="43" applyNumberFormat="1" applyFont="1" applyBorder="1" applyAlignment="1" applyProtection="1">
      <alignment horizontal="right" vertical="top"/>
      <protection/>
    </xf>
    <xf numFmtId="0" fontId="4" fillId="0" borderId="30" xfId="43" applyFont="1" applyBorder="1" applyAlignment="1" applyProtection="1">
      <alignment vertical="top"/>
      <protection/>
    </xf>
    <xf numFmtId="0" fontId="4" fillId="0" borderId="31" xfId="43" applyFont="1" applyBorder="1" applyAlignment="1" applyProtection="1">
      <alignment vertical="top"/>
      <protection/>
    </xf>
    <xf numFmtId="0" fontId="4" fillId="0" borderId="31" xfId="43" applyFont="1" applyBorder="1" applyAlignment="1" applyProtection="1">
      <alignment horizontal="right" vertical="top"/>
      <protection/>
    </xf>
    <xf numFmtId="2" fontId="4" fillId="0" borderId="31" xfId="43" applyNumberFormat="1" applyFont="1" applyBorder="1" applyAlignment="1" applyProtection="1">
      <alignment vertical="top"/>
      <protection/>
    </xf>
    <xf numFmtId="2" fontId="4" fillId="0" borderId="32" xfId="43" applyNumberFormat="1" applyFont="1" applyBorder="1" applyAlignment="1" applyProtection="1">
      <alignment vertical="top"/>
      <protection/>
    </xf>
    <xf numFmtId="2" fontId="6" fillId="0" borderId="0" xfId="43" applyNumberFormat="1" applyFont="1" applyAlignment="1" applyProtection="1">
      <alignment/>
      <protection locked="0"/>
    </xf>
    <xf numFmtId="4" fontId="5" fillId="0" borderId="0" xfId="41" applyNumberFormat="1" applyAlignment="1" applyProtection="1">
      <alignment vertical="center"/>
      <protection locked="0"/>
    </xf>
    <xf numFmtId="2" fontId="4" fillId="0" borderId="0" xfId="41" applyNumberFormat="1" applyFont="1" applyAlignment="1" applyProtection="1">
      <alignment horizontal="left"/>
      <protection locked="0"/>
    </xf>
    <xf numFmtId="2" fontId="4" fillId="0" borderId="0" xfId="41" applyNumberFormat="1" applyFont="1" applyProtection="1">
      <alignment/>
      <protection locked="0"/>
    </xf>
    <xf numFmtId="0" fontId="4" fillId="0" borderId="0" xfId="41" applyFont="1" applyProtection="1">
      <alignment/>
      <protection locked="0"/>
    </xf>
    <xf numFmtId="0" fontId="4" fillId="0" borderId="0" xfId="4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2" fontId="4" fillId="0" borderId="0" xfId="41" applyNumberFormat="1" applyFont="1" applyProtection="1">
      <alignment/>
      <protection/>
    </xf>
    <xf numFmtId="0" fontId="6" fillId="0" borderId="0" xfId="23" applyFont="1" applyBorder="1" applyAlignment="1">
      <alignment horizontal="justify" wrapText="1"/>
      <protection/>
    </xf>
    <xf numFmtId="0" fontId="4" fillId="0" borderId="0" xfId="23" applyFont="1" applyBorder="1" applyAlignment="1">
      <alignment wrapText="1"/>
      <protection/>
    </xf>
    <xf numFmtId="0" fontId="4" fillId="0" borderId="0" xfId="23" applyFont="1" applyAlignment="1">
      <alignment/>
      <protection/>
    </xf>
    <xf numFmtId="0" fontId="16" fillId="0" borderId="0" xfId="23" applyFont="1" applyAlignment="1">
      <alignment horizontal="center"/>
      <protection/>
    </xf>
    <xf numFmtId="0" fontId="5" fillId="0" borderId="0" xfId="23" applyAlignment="1">
      <alignment horizontal="center"/>
      <protection/>
    </xf>
    <xf numFmtId="0" fontId="1" fillId="0" borderId="0" xfId="23" applyFont="1" applyAlignment="1">
      <alignment horizontal="center"/>
      <protection/>
    </xf>
    <xf numFmtId="0" fontId="14" fillId="0" borderId="27" xfId="23" applyFont="1" applyBorder="1" applyAlignment="1">
      <alignment horizontal="left"/>
      <protection/>
    </xf>
    <xf numFmtId="0" fontId="5" fillId="0" borderId="28" xfId="23" applyBorder="1" applyAlignment="1">
      <alignment/>
      <protection/>
    </xf>
    <xf numFmtId="0" fontId="5" fillId="0" borderId="29" xfId="23" applyBorder="1" applyAlignment="1">
      <alignment/>
      <protection/>
    </xf>
    <xf numFmtId="0" fontId="6" fillId="0" borderId="0" xfId="24" applyFont="1" applyFill="1" applyBorder="1" applyAlignment="1">
      <alignment horizontal="left" wrapText="1"/>
      <protection/>
    </xf>
    <xf numFmtId="0" fontId="5" fillId="0" borderId="0" xfId="24" applyAlignment="1">
      <alignment horizontal="left" wrapText="1"/>
      <protection/>
    </xf>
    <xf numFmtId="0" fontId="6" fillId="0" borderId="0" xfId="23" applyFont="1" applyBorder="1" applyAlignment="1">
      <alignment horizontal="left" wrapText="1"/>
      <protection/>
    </xf>
    <xf numFmtId="0" fontId="4" fillId="0" borderId="5" xfId="25" applyFont="1" applyFill="1" applyBorder="1" applyAlignment="1" applyProtection="1">
      <alignment horizontal="center" vertical="center" wrapText="1"/>
      <protection/>
    </xf>
    <xf numFmtId="0" fontId="4" fillId="0" borderId="5" xfId="34" applyFont="1" applyBorder="1" applyAlignment="1" applyProtection="1">
      <alignment vertical="center" wrapText="1"/>
      <protection/>
    </xf>
    <xf numFmtId="0" fontId="4" fillId="0" borderId="6" xfId="34" applyFont="1" applyBorder="1" applyAlignment="1" applyProtection="1">
      <alignment vertical="center" wrapText="1"/>
      <protection/>
    </xf>
    <xf numFmtId="0" fontId="6" fillId="0" borderId="0" xfId="21" applyFont="1" applyFill="1" applyAlignment="1" applyProtection="1">
      <alignment vertical="center" wrapText="1"/>
      <protection/>
    </xf>
    <xf numFmtId="37" fontId="7" fillId="7" borderId="25" xfId="0" applyNumberFormat="1" applyFont="1" applyFill="1" applyBorder="1" applyAlignment="1" applyProtection="1">
      <alignment horizontal="center"/>
      <protection/>
    </xf>
    <xf numFmtId="37" fontId="7" fillId="7" borderId="26" xfId="0" applyNumberFormat="1" applyFont="1" applyFill="1" applyBorder="1" applyAlignment="1" applyProtection="1">
      <alignment horizontal="center"/>
      <protection/>
    </xf>
    <xf numFmtId="37" fontId="7" fillId="7" borderId="33" xfId="0" applyNumberFormat="1" applyFont="1" applyFill="1" applyBorder="1" applyAlignment="1" applyProtection="1">
      <alignment horizontal="center"/>
      <protection/>
    </xf>
    <xf numFmtId="4" fontId="38" fillId="0" borderId="0" xfId="41" applyNumberFormat="1" applyFont="1" applyBorder="1" applyAlignment="1" applyProtection="1">
      <alignment horizontal="right" vertical="top"/>
      <protection locked="0"/>
    </xf>
    <xf numFmtId="4" fontId="37" fillId="0" borderId="0" xfId="41" applyNumberFormat="1" applyFont="1" applyBorder="1" applyAlignment="1">
      <alignment horizontal="right" vertical="top"/>
      <protection/>
    </xf>
    <xf numFmtId="0" fontId="37" fillId="0" borderId="0" xfId="41" applyFont="1" applyAlignment="1">
      <alignment horizontal="center" vertical="center"/>
      <protection/>
    </xf>
    <xf numFmtId="0" fontId="38" fillId="0" borderId="0" xfId="41" applyFont="1" applyAlignment="1">
      <alignment horizontal="center" vertical="center"/>
      <protection/>
    </xf>
    <xf numFmtId="0" fontId="39" fillId="0" borderId="0" xfId="41" applyFont="1" applyAlignment="1">
      <alignment horizontal="center" vertical="center"/>
      <protection/>
    </xf>
    <xf numFmtId="4" fontId="38" fillId="0" borderId="0" xfId="41" applyNumberFormat="1" applyFont="1" applyBorder="1" applyAlignment="1">
      <alignment horizontal="right" vertical="top"/>
      <protection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POL.XLS" xfId="21"/>
    <cellStyle name="normální 3" xfId="22"/>
    <cellStyle name="Normální 3 2" xfId="23"/>
    <cellStyle name="normální 4" xfId="24"/>
    <cellStyle name="normální_POL.XLS 3" xfId="25"/>
    <cellStyle name="Normal_Power Voltage Bill 08.06" xfId="26"/>
    <cellStyle name="Normale_Complete_official_price_list_2007CZ" xfId="27"/>
    <cellStyle name="Normální 10" xfId="28"/>
    <cellStyle name="normální 2 2" xfId="29"/>
    <cellStyle name="Normální 5" xfId="30"/>
    <cellStyle name="Normální 6" xfId="31"/>
    <cellStyle name="Normální 7" xfId="32"/>
    <cellStyle name="Normální 8" xfId="33"/>
    <cellStyle name="Normální 8 2" xfId="34"/>
    <cellStyle name="normální_POL.XLS 2" xfId="35"/>
    <cellStyle name="Styl 1" xfId="36"/>
    <cellStyle name="Währung" xfId="37"/>
    <cellStyle name="標準_IPS alpha BOQ ME forms detail_Mechanical_El." xfId="38"/>
    <cellStyle name="normální 9" xfId="39"/>
    <cellStyle name="normální 11" xfId="40"/>
    <cellStyle name="Normální 12" xfId="41"/>
    <cellStyle name="Normální 13" xfId="42"/>
    <cellStyle name="Normální 14" xfId="43"/>
    <cellStyle name="Normální 15" xfId="44"/>
  </cellStyles>
  <dxfs count="8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>
        <left/>
        <right/>
        <top/>
        <bottom/>
      </border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>
        <left/>
        <right/>
        <top/>
        <bottom/>
      </border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lkupka\Documents\Dokumenty%20-%20Michal%20-%20MacBook%20Air\ROZPOC&#780;TY\2022\2022-23%20Knihovna%20Petra%20Bezruc&#780;e%20-%20poboc&#780;ka%20Liptovska&#769;\Rozpoc&#780;et%20-%20vnitr&#780;ni&#769;%20mobilia&#769;r&#7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rver1\projects\Documents%20and%20Settings\vavra\Desktop\vavra\project\daikin\daikin%20II\CONTRACT\Elma-nab-31.8.04\3117806.03%2031.8.2004%20Daikin%20I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407%20Transformace%20DOZP%20Hlinany\01%20Rekonstrukce%20Teplice\4%20-%20VD\4%20-%20DSP\Rozpocet\TO-407-01%20-%20DSP-rozpoc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l\Desktop\ROZPO&#268;TY\CHV&#193;TAL\REVOLU&#268;N&#205;%2014%20-%20OPRAVA%20ST&#344;ECHY\Podklady\Expedice\Expedice\hromosvody\rozpo&#269;et%20s%20cenou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lkupka\Documents\Dokumenty%20-%20Michal%20-%20MacBook%20Air\ROZPOC&#780;TY\2022\2022-28%20MS&#780;%20Liptovska&#769;%20-%20rekonstrukce\DI&#769;LC&#780;I&#769;%20ROZPOC&#780;TY%20A%20INSTRUKCE\Kopie%20-%20OBO%20Bettermann_Z_2018ob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lkupka\Documents\Dokumenty%20-%20Michal%20-%20MacBook%20Air\ROZPOC&#780;TY\2022\2022-23%20Knihovna%20Petra%20Bezruc&#780;e%20-%20poboc&#780;ka%20Liptovska&#769;\di&#769;lc&#780;i&#769;%20rozpoc&#780;ty%20pr&#780;edbe&#780;z&#780;ne&#769;\Kopie%20-%20OBO%20Bettermann_Z_2018ob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l\Desktop\ROZPO&#268;TY\CHV&#193;TAL\REVOLU&#268;N&#205;%2014%20-%20OPRAVA%20ST&#344;ECHY\Podklady\Expedice\Expedice\hromosvody\rozpo&#269;et%20s%20cenou%20el.p&#367;da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380-01%20Hotel%20CLARION%20Ostrava\3b_DPS\PD%20-%20Rozpocet\000-Kryc&#237;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čet - vnitřní mobiliár"/>
    </sheetNames>
    <definedNames>
      <definedName name="Loan_Star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roz.  vč. kapito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.1.4.5. ZZTI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ik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ik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2-A.1. Archstav  resen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4"/>
  <sheetViews>
    <sheetView showGridLines="0" tabSelected="1" zoomScale="150" zoomScaleNormal="150" zoomScaleSheetLayoutView="75" workbookViewId="0" topLeftCell="B34">
      <selection activeCell="H37" sqref="H37"/>
    </sheetView>
  </sheetViews>
  <sheetFormatPr defaultColWidth="8.7109375" defaultRowHeight="15"/>
  <cols>
    <col min="1" max="1" width="0.42578125" style="34" hidden="1" customWidth="1"/>
    <col min="2" max="2" width="7.140625" style="34" customWidth="1"/>
    <col min="3" max="3" width="13.421875" style="34" customWidth="1"/>
    <col min="4" max="4" width="19.7109375" style="34" customWidth="1"/>
    <col min="5" max="5" width="18.421875" style="34" customWidth="1"/>
    <col min="6" max="6" width="13.140625" style="34" customWidth="1"/>
    <col min="7" max="7" width="16.7109375" style="35" customWidth="1"/>
    <col min="8" max="8" width="16.7109375" style="34" customWidth="1"/>
    <col min="9" max="9" width="17.00390625" style="35" customWidth="1"/>
    <col min="10" max="10" width="20.7109375" style="34" customWidth="1"/>
    <col min="11" max="11" width="17.7109375" style="34" customWidth="1"/>
    <col min="12" max="14" width="10.7109375" style="34" customWidth="1"/>
    <col min="15" max="256" width="9.140625" style="34" customWidth="1"/>
    <col min="257" max="257" width="8.7109375" style="34" hidden="1" customWidth="1"/>
    <col min="258" max="258" width="7.140625" style="34" customWidth="1"/>
    <col min="259" max="259" width="13.421875" style="34" customWidth="1"/>
    <col min="260" max="260" width="19.7109375" style="34" customWidth="1"/>
    <col min="261" max="261" width="18.421875" style="34" customWidth="1"/>
    <col min="262" max="262" width="13.140625" style="34" customWidth="1"/>
    <col min="263" max="264" width="16.7109375" style="34" customWidth="1"/>
    <col min="265" max="265" width="17.00390625" style="34" customWidth="1"/>
    <col min="266" max="266" width="20.7109375" style="34" customWidth="1"/>
    <col min="267" max="267" width="17.7109375" style="34" customWidth="1"/>
    <col min="268" max="270" width="10.7109375" style="34" customWidth="1"/>
    <col min="271" max="512" width="9.140625" style="34" customWidth="1"/>
    <col min="513" max="513" width="8.7109375" style="34" hidden="1" customWidth="1"/>
    <col min="514" max="514" width="7.140625" style="34" customWidth="1"/>
    <col min="515" max="515" width="13.421875" style="34" customWidth="1"/>
    <col min="516" max="516" width="19.7109375" style="34" customWidth="1"/>
    <col min="517" max="517" width="18.421875" style="34" customWidth="1"/>
    <col min="518" max="518" width="13.140625" style="34" customWidth="1"/>
    <col min="519" max="520" width="16.7109375" style="34" customWidth="1"/>
    <col min="521" max="521" width="17.00390625" style="34" customWidth="1"/>
    <col min="522" max="522" width="20.7109375" style="34" customWidth="1"/>
    <col min="523" max="523" width="17.7109375" style="34" customWidth="1"/>
    <col min="524" max="526" width="10.7109375" style="34" customWidth="1"/>
    <col min="527" max="768" width="9.140625" style="34" customWidth="1"/>
    <col min="769" max="769" width="8.7109375" style="34" hidden="1" customWidth="1"/>
    <col min="770" max="770" width="7.140625" style="34" customWidth="1"/>
    <col min="771" max="771" width="13.421875" style="34" customWidth="1"/>
    <col min="772" max="772" width="19.7109375" style="34" customWidth="1"/>
    <col min="773" max="773" width="18.421875" style="34" customWidth="1"/>
    <col min="774" max="774" width="13.140625" style="34" customWidth="1"/>
    <col min="775" max="776" width="16.7109375" style="34" customWidth="1"/>
    <col min="777" max="777" width="17.00390625" style="34" customWidth="1"/>
    <col min="778" max="778" width="20.7109375" style="34" customWidth="1"/>
    <col min="779" max="779" width="17.7109375" style="34" customWidth="1"/>
    <col min="780" max="782" width="10.7109375" style="34" customWidth="1"/>
    <col min="783" max="1024" width="9.140625" style="34" customWidth="1"/>
    <col min="1025" max="1025" width="8.7109375" style="34" hidden="1" customWidth="1"/>
    <col min="1026" max="1026" width="7.140625" style="34" customWidth="1"/>
    <col min="1027" max="1027" width="13.421875" style="34" customWidth="1"/>
    <col min="1028" max="1028" width="19.7109375" style="34" customWidth="1"/>
    <col min="1029" max="1029" width="18.421875" style="34" customWidth="1"/>
    <col min="1030" max="1030" width="13.140625" style="34" customWidth="1"/>
    <col min="1031" max="1032" width="16.7109375" style="34" customWidth="1"/>
    <col min="1033" max="1033" width="17.00390625" style="34" customWidth="1"/>
    <col min="1034" max="1034" width="20.7109375" style="34" customWidth="1"/>
    <col min="1035" max="1035" width="17.7109375" style="34" customWidth="1"/>
    <col min="1036" max="1038" width="10.7109375" style="34" customWidth="1"/>
    <col min="1039" max="1280" width="9.140625" style="34" customWidth="1"/>
    <col min="1281" max="1281" width="8.7109375" style="34" hidden="1" customWidth="1"/>
    <col min="1282" max="1282" width="7.140625" style="34" customWidth="1"/>
    <col min="1283" max="1283" width="13.421875" style="34" customWidth="1"/>
    <col min="1284" max="1284" width="19.7109375" style="34" customWidth="1"/>
    <col min="1285" max="1285" width="18.421875" style="34" customWidth="1"/>
    <col min="1286" max="1286" width="13.140625" style="34" customWidth="1"/>
    <col min="1287" max="1288" width="16.7109375" style="34" customWidth="1"/>
    <col min="1289" max="1289" width="17.00390625" style="34" customWidth="1"/>
    <col min="1290" max="1290" width="20.7109375" style="34" customWidth="1"/>
    <col min="1291" max="1291" width="17.7109375" style="34" customWidth="1"/>
    <col min="1292" max="1294" width="10.7109375" style="34" customWidth="1"/>
    <col min="1295" max="1536" width="9.140625" style="34" customWidth="1"/>
    <col min="1537" max="1537" width="8.7109375" style="34" hidden="1" customWidth="1"/>
    <col min="1538" max="1538" width="7.140625" style="34" customWidth="1"/>
    <col min="1539" max="1539" width="13.421875" style="34" customWidth="1"/>
    <col min="1540" max="1540" width="19.7109375" style="34" customWidth="1"/>
    <col min="1541" max="1541" width="18.421875" style="34" customWidth="1"/>
    <col min="1542" max="1542" width="13.140625" style="34" customWidth="1"/>
    <col min="1543" max="1544" width="16.7109375" style="34" customWidth="1"/>
    <col min="1545" max="1545" width="17.00390625" style="34" customWidth="1"/>
    <col min="1546" max="1546" width="20.7109375" style="34" customWidth="1"/>
    <col min="1547" max="1547" width="17.7109375" style="34" customWidth="1"/>
    <col min="1548" max="1550" width="10.7109375" style="34" customWidth="1"/>
    <col min="1551" max="1792" width="9.140625" style="34" customWidth="1"/>
    <col min="1793" max="1793" width="8.7109375" style="34" hidden="1" customWidth="1"/>
    <col min="1794" max="1794" width="7.140625" style="34" customWidth="1"/>
    <col min="1795" max="1795" width="13.421875" style="34" customWidth="1"/>
    <col min="1796" max="1796" width="19.7109375" style="34" customWidth="1"/>
    <col min="1797" max="1797" width="18.421875" style="34" customWidth="1"/>
    <col min="1798" max="1798" width="13.140625" style="34" customWidth="1"/>
    <col min="1799" max="1800" width="16.7109375" style="34" customWidth="1"/>
    <col min="1801" max="1801" width="17.00390625" style="34" customWidth="1"/>
    <col min="1802" max="1802" width="20.7109375" style="34" customWidth="1"/>
    <col min="1803" max="1803" width="17.7109375" style="34" customWidth="1"/>
    <col min="1804" max="1806" width="10.7109375" style="34" customWidth="1"/>
    <col min="1807" max="2048" width="9.140625" style="34" customWidth="1"/>
    <col min="2049" max="2049" width="8.7109375" style="34" hidden="1" customWidth="1"/>
    <col min="2050" max="2050" width="7.140625" style="34" customWidth="1"/>
    <col min="2051" max="2051" width="13.421875" style="34" customWidth="1"/>
    <col min="2052" max="2052" width="19.7109375" style="34" customWidth="1"/>
    <col min="2053" max="2053" width="18.421875" style="34" customWidth="1"/>
    <col min="2054" max="2054" width="13.140625" style="34" customWidth="1"/>
    <col min="2055" max="2056" width="16.7109375" style="34" customWidth="1"/>
    <col min="2057" max="2057" width="17.00390625" style="34" customWidth="1"/>
    <col min="2058" max="2058" width="20.7109375" style="34" customWidth="1"/>
    <col min="2059" max="2059" width="17.7109375" style="34" customWidth="1"/>
    <col min="2060" max="2062" width="10.7109375" style="34" customWidth="1"/>
    <col min="2063" max="2304" width="9.140625" style="34" customWidth="1"/>
    <col min="2305" max="2305" width="8.7109375" style="34" hidden="1" customWidth="1"/>
    <col min="2306" max="2306" width="7.140625" style="34" customWidth="1"/>
    <col min="2307" max="2307" width="13.421875" style="34" customWidth="1"/>
    <col min="2308" max="2308" width="19.7109375" style="34" customWidth="1"/>
    <col min="2309" max="2309" width="18.421875" style="34" customWidth="1"/>
    <col min="2310" max="2310" width="13.140625" style="34" customWidth="1"/>
    <col min="2311" max="2312" width="16.7109375" style="34" customWidth="1"/>
    <col min="2313" max="2313" width="17.00390625" style="34" customWidth="1"/>
    <col min="2314" max="2314" width="20.7109375" style="34" customWidth="1"/>
    <col min="2315" max="2315" width="17.7109375" style="34" customWidth="1"/>
    <col min="2316" max="2318" width="10.7109375" style="34" customWidth="1"/>
    <col min="2319" max="2560" width="9.140625" style="34" customWidth="1"/>
    <col min="2561" max="2561" width="8.7109375" style="34" hidden="1" customWidth="1"/>
    <col min="2562" max="2562" width="7.140625" style="34" customWidth="1"/>
    <col min="2563" max="2563" width="13.421875" style="34" customWidth="1"/>
    <col min="2564" max="2564" width="19.7109375" style="34" customWidth="1"/>
    <col min="2565" max="2565" width="18.421875" style="34" customWidth="1"/>
    <col min="2566" max="2566" width="13.140625" style="34" customWidth="1"/>
    <col min="2567" max="2568" width="16.7109375" style="34" customWidth="1"/>
    <col min="2569" max="2569" width="17.00390625" style="34" customWidth="1"/>
    <col min="2570" max="2570" width="20.7109375" style="34" customWidth="1"/>
    <col min="2571" max="2571" width="17.7109375" style="34" customWidth="1"/>
    <col min="2572" max="2574" width="10.7109375" style="34" customWidth="1"/>
    <col min="2575" max="2816" width="9.140625" style="34" customWidth="1"/>
    <col min="2817" max="2817" width="8.7109375" style="34" hidden="1" customWidth="1"/>
    <col min="2818" max="2818" width="7.140625" style="34" customWidth="1"/>
    <col min="2819" max="2819" width="13.421875" style="34" customWidth="1"/>
    <col min="2820" max="2820" width="19.7109375" style="34" customWidth="1"/>
    <col min="2821" max="2821" width="18.421875" style="34" customWidth="1"/>
    <col min="2822" max="2822" width="13.140625" style="34" customWidth="1"/>
    <col min="2823" max="2824" width="16.7109375" style="34" customWidth="1"/>
    <col min="2825" max="2825" width="17.00390625" style="34" customWidth="1"/>
    <col min="2826" max="2826" width="20.7109375" style="34" customWidth="1"/>
    <col min="2827" max="2827" width="17.7109375" style="34" customWidth="1"/>
    <col min="2828" max="2830" width="10.7109375" style="34" customWidth="1"/>
    <col min="2831" max="3072" width="9.140625" style="34" customWidth="1"/>
    <col min="3073" max="3073" width="8.7109375" style="34" hidden="1" customWidth="1"/>
    <col min="3074" max="3074" width="7.140625" style="34" customWidth="1"/>
    <col min="3075" max="3075" width="13.421875" style="34" customWidth="1"/>
    <col min="3076" max="3076" width="19.7109375" style="34" customWidth="1"/>
    <col min="3077" max="3077" width="18.421875" style="34" customWidth="1"/>
    <col min="3078" max="3078" width="13.140625" style="34" customWidth="1"/>
    <col min="3079" max="3080" width="16.7109375" style="34" customWidth="1"/>
    <col min="3081" max="3081" width="17.00390625" style="34" customWidth="1"/>
    <col min="3082" max="3082" width="20.7109375" style="34" customWidth="1"/>
    <col min="3083" max="3083" width="17.7109375" style="34" customWidth="1"/>
    <col min="3084" max="3086" width="10.7109375" style="34" customWidth="1"/>
    <col min="3087" max="3328" width="9.140625" style="34" customWidth="1"/>
    <col min="3329" max="3329" width="8.7109375" style="34" hidden="1" customWidth="1"/>
    <col min="3330" max="3330" width="7.140625" style="34" customWidth="1"/>
    <col min="3331" max="3331" width="13.421875" style="34" customWidth="1"/>
    <col min="3332" max="3332" width="19.7109375" style="34" customWidth="1"/>
    <col min="3333" max="3333" width="18.421875" style="34" customWidth="1"/>
    <col min="3334" max="3334" width="13.140625" style="34" customWidth="1"/>
    <col min="3335" max="3336" width="16.7109375" style="34" customWidth="1"/>
    <col min="3337" max="3337" width="17.00390625" style="34" customWidth="1"/>
    <col min="3338" max="3338" width="20.7109375" style="34" customWidth="1"/>
    <col min="3339" max="3339" width="17.7109375" style="34" customWidth="1"/>
    <col min="3340" max="3342" width="10.7109375" style="34" customWidth="1"/>
    <col min="3343" max="3584" width="9.140625" style="34" customWidth="1"/>
    <col min="3585" max="3585" width="8.7109375" style="34" hidden="1" customWidth="1"/>
    <col min="3586" max="3586" width="7.140625" style="34" customWidth="1"/>
    <col min="3587" max="3587" width="13.421875" style="34" customWidth="1"/>
    <col min="3588" max="3588" width="19.7109375" style="34" customWidth="1"/>
    <col min="3589" max="3589" width="18.421875" style="34" customWidth="1"/>
    <col min="3590" max="3590" width="13.140625" style="34" customWidth="1"/>
    <col min="3591" max="3592" width="16.7109375" style="34" customWidth="1"/>
    <col min="3593" max="3593" width="17.00390625" style="34" customWidth="1"/>
    <col min="3594" max="3594" width="20.7109375" style="34" customWidth="1"/>
    <col min="3595" max="3595" width="17.7109375" style="34" customWidth="1"/>
    <col min="3596" max="3598" width="10.7109375" style="34" customWidth="1"/>
    <col min="3599" max="3840" width="9.140625" style="34" customWidth="1"/>
    <col min="3841" max="3841" width="8.7109375" style="34" hidden="1" customWidth="1"/>
    <col min="3842" max="3842" width="7.140625" style="34" customWidth="1"/>
    <col min="3843" max="3843" width="13.421875" style="34" customWidth="1"/>
    <col min="3844" max="3844" width="19.7109375" style="34" customWidth="1"/>
    <col min="3845" max="3845" width="18.421875" style="34" customWidth="1"/>
    <col min="3846" max="3846" width="13.140625" style="34" customWidth="1"/>
    <col min="3847" max="3848" width="16.7109375" style="34" customWidth="1"/>
    <col min="3849" max="3849" width="17.00390625" style="34" customWidth="1"/>
    <col min="3850" max="3850" width="20.7109375" style="34" customWidth="1"/>
    <col min="3851" max="3851" width="17.7109375" style="34" customWidth="1"/>
    <col min="3852" max="3854" width="10.7109375" style="34" customWidth="1"/>
    <col min="3855" max="4096" width="9.140625" style="34" customWidth="1"/>
    <col min="4097" max="4097" width="8.7109375" style="34" hidden="1" customWidth="1"/>
    <col min="4098" max="4098" width="7.140625" style="34" customWidth="1"/>
    <col min="4099" max="4099" width="13.421875" style="34" customWidth="1"/>
    <col min="4100" max="4100" width="19.7109375" style="34" customWidth="1"/>
    <col min="4101" max="4101" width="18.421875" style="34" customWidth="1"/>
    <col min="4102" max="4102" width="13.140625" style="34" customWidth="1"/>
    <col min="4103" max="4104" width="16.7109375" style="34" customWidth="1"/>
    <col min="4105" max="4105" width="17.00390625" style="34" customWidth="1"/>
    <col min="4106" max="4106" width="20.7109375" style="34" customWidth="1"/>
    <col min="4107" max="4107" width="17.7109375" style="34" customWidth="1"/>
    <col min="4108" max="4110" width="10.7109375" style="34" customWidth="1"/>
    <col min="4111" max="4352" width="9.140625" style="34" customWidth="1"/>
    <col min="4353" max="4353" width="8.7109375" style="34" hidden="1" customWidth="1"/>
    <col min="4354" max="4354" width="7.140625" style="34" customWidth="1"/>
    <col min="4355" max="4355" width="13.421875" style="34" customWidth="1"/>
    <col min="4356" max="4356" width="19.7109375" style="34" customWidth="1"/>
    <col min="4357" max="4357" width="18.421875" style="34" customWidth="1"/>
    <col min="4358" max="4358" width="13.140625" style="34" customWidth="1"/>
    <col min="4359" max="4360" width="16.7109375" style="34" customWidth="1"/>
    <col min="4361" max="4361" width="17.00390625" style="34" customWidth="1"/>
    <col min="4362" max="4362" width="20.7109375" style="34" customWidth="1"/>
    <col min="4363" max="4363" width="17.7109375" style="34" customWidth="1"/>
    <col min="4364" max="4366" width="10.7109375" style="34" customWidth="1"/>
    <col min="4367" max="4608" width="9.140625" style="34" customWidth="1"/>
    <col min="4609" max="4609" width="8.7109375" style="34" hidden="1" customWidth="1"/>
    <col min="4610" max="4610" width="7.140625" style="34" customWidth="1"/>
    <col min="4611" max="4611" width="13.421875" style="34" customWidth="1"/>
    <col min="4612" max="4612" width="19.7109375" style="34" customWidth="1"/>
    <col min="4613" max="4613" width="18.421875" style="34" customWidth="1"/>
    <col min="4614" max="4614" width="13.140625" style="34" customWidth="1"/>
    <col min="4615" max="4616" width="16.7109375" style="34" customWidth="1"/>
    <col min="4617" max="4617" width="17.00390625" style="34" customWidth="1"/>
    <col min="4618" max="4618" width="20.7109375" style="34" customWidth="1"/>
    <col min="4619" max="4619" width="17.7109375" style="34" customWidth="1"/>
    <col min="4620" max="4622" width="10.7109375" style="34" customWidth="1"/>
    <col min="4623" max="4864" width="9.140625" style="34" customWidth="1"/>
    <col min="4865" max="4865" width="8.7109375" style="34" hidden="1" customWidth="1"/>
    <col min="4866" max="4866" width="7.140625" style="34" customWidth="1"/>
    <col min="4867" max="4867" width="13.421875" style="34" customWidth="1"/>
    <col min="4868" max="4868" width="19.7109375" style="34" customWidth="1"/>
    <col min="4869" max="4869" width="18.421875" style="34" customWidth="1"/>
    <col min="4870" max="4870" width="13.140625" style="34" customWidth="1"/>
    <col min="4871" max="4872" width="16.7109375" style="34" customWidth="1"/>
    <col min="4873" max="4873" width="17.00390625" style="34" customWidth="1"/>
    <col min="4874" max="4874" width="20.7109375" style="34" customWidth="1"/>
    <col min="4875" max="4875" width="17.7109375" style="34" customWidth="1"/>
    <col min="4876" max="4878" width="10.7109375" style="34" customWidth="1"/>
    <col min="4879" max="5120" width="9.140625" style="34" customWidth="1"/>
    <col min="5121" max="5121" width="8.7109375" style="34" hidden="1" customWidth="1"/>
    <col min="5122" max="5122" width="7.140625" style="34" customWidth="1"/>
    <col min="5123" max="5123" width="13.421875" style="34" customWidth="1"/>
    <col min="5124" max="5124" width="19.7109375" style="34" customWidth="1"/>
    <col min="5125" max="5125" width="18.421875" style="34" customWidth="1"/>
    <col min="5126" max="5126" width="13.140625" style="34" customWidth="1"/>
    <col min="5127" max="5128" width="16.7109375" style="34" customWidth="1"/>
    <col min="5129" max="5129" width="17.00390625" style="34" customWidth="1"/>
    <col min="5130" max="5130" width="20.7109375" style="34" customWidth="1"/>
    <col min="5131" max="5131" width="17.7109375" style="34" customWidth="1"/>
    <col min="5132" max="5134" width="10.7109375" style="34" customWidth="1"/>
    <col min="5135" max="5376" width="9.140625" style="34" customWidth="1"/>
    <col min="5377" max="5377" width="8.7109375" style="34" hidden="1" customWidth="1"/>
    <col min="5378" max="5378" width="7.140625" style="34" customWidth="1"/>
    <col min="5379" max="5379" width="13.421875" style="34" customWidth="1"/>
    <col min="5380" max="5380" width="19.7109375" style="34" customWidth="1"/>
    <col min="5381" max="5381" width="18.421875" style="34" customWidth="1"/>
    <col min="5382" max="5382" width="13.140625" style="34" customWidth="1"/>
    <col min="5383" max="5384" width="16.7109375" style="34" customWidth="1"/>
    <col min="5385" max="5385" width="17.00390625" style="34" customWidth="1"/>
    <col min="5386" max="5386" width="20.7109375" style="34" customWidth="1"/>
    <col min="5387" max="5387" width="17.7109375" style="34" customWidth="1"/>
    <col min="5388" max="5390" width="10.7109375" style="34" customWidth="1"/>
    <col min="5391" max="5632" width="9.140625" style="34" customWidth="1"/>
    <col min="5633" max="5633" width="8.7109375" style="34" hidden="1" customWidth="1"/>
    <col min="5634" max="5634" width="7.140625" style="34" customWidth="1"/>
    <col min="5635" max="5635" width="13.421875" style="34" customWidth="1"/>
    <col min="5636" max="5636" width="19.7109375" style="34" customWidth="1"/>
    <col min="5637" max="5637" width="18.421875" style="34" customWidth="1"/>
    <col min="5638" max="5638" width="13.140625" style="34" customWidth="1"/>
    <col min="5639" max="5640" width="16.7109375" style="34" customWidth="1"/>
    <col min="5641" max="5641" width="17.00390625" style="34" customWidth="1"/>
    <col min="5642" max="5642" width="20.7109375" style="34" customWidth="1"/>
    <col min="5643" max="5643" width="17.7109375" style="34" customWidth="1"/>
    <col min="5644" max="5646" width="10.7109375" style="34" customWidth="1"/>
    <col min="5647" max="5888" width="9.140625" style="34" customWidth="1"/>
    <col min="5889" max="5889" width="8.7109375" style="34" hidden="1" customWidth="1"/>
    <col min="5890" max="5890" width="7.140625" style="34" customWidth="1"/>
    <col min="5891" max="5891" width="13.421875" style="34" customWidth="1"/>
    <col min="5892" max="5892" width="19.7109375" style="34" customWidth="1"/>
    <col min="5893" max="5893" width="18.421875" style="34" customWidth="1"/>
    <col min="5894" max="5894" width="13.140625" style="34" customWidth="1"/>
    <col min="5895" max="5896" width="16.7109375" style="34" customWidth="1"/>
    <col min="5897" max="5897" width="17.00390625" style="34" customWidth="1"/>
    <col min="5898" max="5898" width="20.7109375" style="34" customWidth="1"/>
    <col min="5899" max="5899" width="17.7109375" style="34" customWidth="1"/>
    <col min="5900" max="5902" width="10.7109375" style="34" customWidth="1"/>
    <col min="5903" max="6144" width="9.140625" style="34" customWidth="1"/>
    <col min="6145" max="6145" width="8.7109375" style="34" hidden="1" customWidth="1"/>
    <col min="6146" max="6146" width="7.140625" style="34" customWidth="1"/>
    <col min="6147" max="6147" width="13.421875" style="34" customWidth="1"/>
    <col min="6148" max="6148" width="19.7109375" style="34" customWidth="1"/>
    <col min="6149" max="6149" width="18.421875" style="34" customWidth="1"/>
    <col min="6150" max="6150" width="13.140625" style="34" customWidth="1"/>
    <col min="6151" max="6152" width="16.7109375" style="34" customWidth="1"/>
    <col min="6153" max="6153" width="17.00390625" style="34" customWidth="1"/>
    <col min="6154" max="6154" width="20.7109375" style="34" customWidth="1"/>
    <col min="6155" max="6155" width="17.7109375" style="34" customWidth="1"/>
    <col min="6156" max="6158" width="10.7109375" style="34" customWidth="1"/>
    <col min="6159" max="6400" width="9.140625" style="34" customWidth="1"/>
    <col min="6401" max="6401" width="8.7109375" style="34" hidden="1" customWidth="1"/>
    <col min="6402" max="6402" width="7.140625" style="34" customWidth="1"/>
    <col min="6403" max="6403" width="13.421875" style="34" customWidth="1"/>
    <col min="6404" max="6404" width="19.7109375" style="34" customWidth="1"/>
    <col min="6405" max="6405" width="18.421875" style="34" customWidth="1"/>
    <col min="6406" max="6406" width="13.140625" style="34" customWidth="1"/>
    <col min="6407" max="6408" width="16.7109375" style="34" customWidth="1"/>
    <col min="6409" max="6409" width="17.00390625" style="34" customWidth="1"/>
    <col min="6410" max="6410" width="20.7109375" style="34" customWidth="1"/>
    <col min="6411" max="6411" width="17.7109375" style="34" customWidth="1"/>
    <col min="6412" max="6414" width="10.7109375" style="34" customWidth="1"/>
    <col min="6415" max="6656" width="9.140625" style="34" customWidth="1"/>
    <col min="6657" max="6657" width="8.7109375" style="34" hidden="1" customWidth="1"/>
    <col min="6658" max="6658" width="7.140625" style="34" customWidth="1"/>
    <col min="6659" max="6659" width="13.421875" style="34" customWidth="1"/>
    <col min="6660" max="6660" width="19.7109375" style="34" customWidth="1"/>
    <col min="6661" max="6661" width="18.421875" style="34" customWidth="1"/>
    <col min="6662" max="6662" width="13.140625" style="34" customWidth="1"/>
    <col min="6663" max="6664" width="16.7109375" style="34" customWidth="1"/>
    <col min="6665" max="6665" width="17.00390625" style="34" customWidth="1"/>
    <col min="6666" max="6666" width="20.7109375" style="34" customWidth="1"/>
    <col min="6667" max="6667" width="17.7109375" style="34" customWidth="1"/>
    <col min="6668" max="6670" width="10.7109375" style="34" customWidth="1"/>
    <col min="6671" max="6912" width="9.140625" style="34" customWidth="1"/>
    <col min="6913" max="6913" width="8.7109375" style="34" hidden="1" customWidth="1"/>
    <col min="6914" max="6914" width="7.140625" style="34" customWidth="1"/>
    <col min="6915" max="6915" width="13.421875" style="34" customWidth="1"/>
    <col min="6916" max="6916" width="19.7109375" style="34" customWidth="1"/>
    <col min="6917" max="6917" width="18.421875" style="34" customWidth="1"/>
    <col min="6918" max="6918" width="13.140625" style="34" customWidth="1"/>
    <col min="6919" max="6920" width="16.7109375" style="34" customWidth="1"/>
    <col min="6921" max="6921" width="17.00390625" style="34" customWidth="1"/>
    <col min="6922" max="6922" width="20.7109375" style="34" customWidth="1"/>
    <col min="6923" max="6923" width="17.7109375" style="34" customWidth="1"/>
    <col min="6924" max="6926" width="10.7109375" style="34" customWidth="1"/>
    <col min="6927" max="7168" width="9.140625" style="34" customWidth="1"/>
    <col min="7169" max="7169" width="8.7109375" style="34" hidden="1" customWidth="1"/>
    <col min="7170" max="7170" width="7.140625" style="34" customWidth="1"/>
    <col min="7171" max="7171" width="13.421875" style="34" customWidth="1"/>
    <col min="7172" max="7172" width="19.7109375" style="34" customWidth="1"/>
    <col min="7173" max="7173" width="18.421875" style="34" customWidth="1"/>
    <col min="7174" max="7174" width="13.140625" style="34" customWidth="1"/>
    <col min="7175" max="7176" width="16.7109375" style="34" customWidth="1"/>
    <col min="7177" max="7177" width="17.00390625" style="34" customWidth="1"/>
    <col min="7178" max="7178" width="20.7109375" style="34" customWidth="1"/>
    <col min="7179" max="7179" width="17.7109375" style="34" customWidth="1"/>
    <col min="7180" max="7182" width="10.7109375" style="34" customWidth="1"/>
    <col min="7183" max="7424" width="9.140625" style="34" customWidth="1"/>
    <col min="7425" max="7425" width="8.7109375" style="34" hidden="1" customWidth="1"/>
    <col min="7426" max="7426" width="7.140625" style="34" customWidth="1"/>
    <col min="7427" max="7427" width="13.421875" style="34" customWidth="1"/>
    <col min="7428" max="7428" width="19.7109375" style="34" customWidth="1"/>
    <col min="7429" max="7429" width="18.421875" style="34" customWidth="1"/>
    <col min="7430" max="7430" width="13.140625" style="34" customWidth="1"/>
    <col min="7431" max="7432" width="16.7109375" style="34" customWidth="1"/>
    <col min="7433" max="7433" width="17.00390625" style="34" customWidth="1"/>
    <col min="7434" max="7434" width="20.7109375" style="34" customWidth="1"/>
    <col min="7435" max="7435" width="17.7109375" style="34" customWidth="1"/>
    <col min="7436" max="7438" width="10.7109375" style="34" customWidth="1"/>
    <col min="7439" max="7680" width="9.140625" style="34" customWidth="1"/>
    <col min="7681" max="7681" width="8.7109375" style="34" hidden="1" customWidth="1"/>
    <col min="7682" max="7682" width="7.140625" style="34" customWidth="1"/>
    <col min="7683" max="7683" width="13.421875" style="34" customWidth="1"/>
    <col min="7684" max="7684" width="19.7109375" style="34" customWidth="1"/>
    <col min="7685" max="7685" width="18.421875" style="34" customWidth="1"/>
    <col min="7686" max="7686" width="13.140625" style="34" customWidth="1"/>
    <col min="7687" max="7688" width="16.7109375" style="34" customWidth="1"/>
    <col min="7689" max="7689" width="17.00390625" style="34" customWidth="1"/>
    <col min="7690" max="7690" width="20.7109375" style="34" customWidth="1"/>
    <col min="7691" max="7691" width="17.7109375" style="34" customWidth="1"/>
    <col min="7692" max="7694" width="10.7109375" style="34" customWidth="1"/>
    <col min="7695" max="7936" width="9.140625" style="34" customWidth="1"/>
    <col min="7937" max="7937" width="8.7109375" style="34" hidden="1" customWidth="1"/>
    <col min="7938" max="7938" width="7.140625" style="34" customWidth="1"/>
    <col min="7939" max="7939" width="13.421875" style="34" customWidth="1"/>
    <col min="7940" max="7940" width="19.7109375" style="34" customWidth="1"/>
    <col min="7941" max="7941" width="18.421875" style="34" customWidth="1"/>
    <col min="7942" max="7942" width="13.140625" style="34" customWidth="1"/>
    <col min="7943" max="7944" width="16.7109375" style="34" customWidth="1"/>
    <col min="7945" max="7945" width="17.00390625" style="34" customWidth="1"/>
    <col min="7946" max="7946" width="20.7109375" style="34" customWidth="1"/>
    <col min="7947" max="7947" width="17.7109375" style="34" customWidth="1"/>
    <col min="7948" max="7950" width="10.7109375" style="34" customWidth="1"/>
    <col min="7951" max="8192" width="9.140625" style="34" customWidth="1"/>
    <col min="8193" max="8193" width="8.7109375" style="34" hidden="1" customWidth="1"/>
    <col min="8194" max="8194" width="7.140625" style="34" customWidth="1"/>
    <col min="8195" max="8195" width="13.421875" style="34" customWidth="1"/>
    <col min="8196" max="8196" width="19.7109375" style="34" customWidth="1"/>
    <col min="8197" max="8197" width="18.421875" style="34" customWidth="1"/>
    <col min="8198" max="8198" width="13.140625" style="34" customWidth="1"/>
    <col min="8199" max="8200" width="16.7109375" style="34" customWidth="1"/>
    <col min="8201" max="8201" width="17.00390625" style="34" customWidth="1"/>
    <col min="8202" max="8202" width="20.7109375" style="34" customWidth="1"/>
    <col min="8203" max="8203" width="17.7109375" style="34" customWidth="1"/>
    <col min="8204" max="8206" width="10.7109375" style="34" customWidth="1"/>
    <col min="8207" max="8448" width="9.140625" style="34" customWidth="1"/>
    <col min="8449" max="8449" width="8.7109375" style="34" hidden="1" customWidth="1"/>
    <col min="8450" max="8450" width="7.140625" style="34" customWidth="1"/>
    <col min="8451" max="8451" width="13.421875" style="34" customWidth="1"/>
    <col min="8452" max="8452" width="19.7109375" style="34" customWidth="1"/>
    <col min="8453" max="8453" width="18.421875" style="34" customWidth="1"/>
    <col min="8454" max="8454" width="13.140625" style="34" customWidth="1"/>
    <col min="8455" max="8456" width="16.7109375" style="34" customWidth="1"/>
    <col min="8457" max="8457" width="17.00390625" style="34" customWidth="1"/>
    <col min="8458" max="8458" width="20.7109375" style="34" customWidth="1"/>
    <col min="8459" max="8459" width="17.7109375" style="34" customWidth="1"/>
    <col min="8460" max="8462" width="10.7109375" style="34" customWidth="1"/>
    <col min="8463" max="8704" width="9.140625" style="34" customWidth="1"/>
    <col min="8705" max="8705" width="8.7109375" style="34" hidden="1" customWidth="1"/>
    <col min="8706" max="8706" width="7.140625" style="34" customWidth="1"/>
    <col min="8707" max="8707" width="13.421875" style="34" customWidth="1"/>
    <col min="8708" max="8708" width="19.7109375" style="34" customWidth="1"/>
    <col min="8709" max="8709" width="18.421875" style="34" customWidth="1"/>
    <col min="8710" max="8710" width="13.140625" style="34" customWidth="1"/>
    <col min="8711" max="8712" width="16.7109375" style="34" customWidth="1"/>
    <col min="8713" max="8713" width="17.00390625" style="34" customWidth="1"/>
    <col min="8714" max="8714" width="20.7109375" style="34" customWidth="1"/>
    <col min="8715" max="8715" width="17.7109375" style="34" customWidth="1"/>
    <col min="8716" max="8718" width="10.7109375" style="34" customWidth="1"/>
    <col min="8719" max="8960" width="9.140625" style="34" customWidth="1"/>
    <col min="8961" max="8961" width="8.7109375" style="34" hidden="1" customWidth="1"/>
    <col min="8962" max="8962" width="7.140625" style="34" customWidth="1"/>
    <col min="8963" max="8963" width="13.421875" style="34" customWidth="1"/>
    <col min="8964" max="8964" width="19.7109375" style="34" customWidth="1"/>
    <col min="8965" max="8965" width="18.421875" style="34" customWidth="1"/>
    <col min="8966" max="8966" width="13.140625" style="34" customWidth="1"/>
    <col min="8967" max="8968" width="16.7109375" style="34" customWidth="1"/>
    <col min="8969" max="8969" width="17.00390625" style="34" customWidth="1"/>
    <col min="8970" max="8970" width="20.7109375" style="34" customWidth="1"/>
    <col min="8971" max="8971" width="17.7109375" style="34" customWidth="1"/>
    <col min="8972" max="8974" width="10.7109375" style="34" customWidth="1"/>
    <col min="8975" max="9216" width="9.140625" style="34" customWidth="1"/>
    <col min="9217" max="9217" width="8.7109375" style="34" hidden="1" customWidth="1"/>
    <col min="9218" max="9218" width="7.140625" style="34" customWidth="1"/>
    <col min="9219" max="9219" width="13.421875" style="34" customWidth="1"/>
    <col min="9220" max="9220" width="19.7109375" style="34" customWidth="1"/>
    <col min="9221" max="9221" width="18.421875" style="34" customWidth="1"/>
    <col min="9222" max="9222" width="13.140625" style="34" customWidth="1"/>
    <col min="9223" max="9224" width="16.7109375" style="34" customWidth="1"/>
    <col min="9225" max="9225" width="17.00390625" style="34" customWidth="1"/>
    <col min="9226" max="9226" width="20.7109375" style="34" customWidth="1"/>
    <col min="9227" max="9227" width="17.7109375" style="34" customWidth="1"/>
    <col min="9228" max="9230" width="10.7109375" style="34" customWidth="1"/>
    <col min="9231" max="9472" width="9.140625" style="34" customWidth="1"/>
    <col min="9473" max="9473" width="8.7109375" style="34" hidden="1" customWidth="1"/>
    <col min="9474" max="9474" width="7.140625" style="34" customWidth="1"/>
    <col min="9475" max="9475" width="13.421875" style="34" customWidth="1"/>
    <col min="9476" max="9476" width="19.7109375" style="34" customWidth="1"/>
    <col min="9477" max="9477" width="18.421875" style="34" customWidth="1"/>
    <col min="9478" max="9478" width="13.140625" style="34" customWidth="1"/>
    <col min="9479" max="9480" width="16.7109375" style="34" customWidth="1"/>
    <col min="9481" max="9481" width="17.00390625" style="34" customWidth="1"/>
    <col min="9482" max="9482" width="20.7109375" style="34" customWidth="1"/>
    <col min="9483" max="9483" width="17.7109375" style="34" customWidth="1"/>
    <col min="9484" max="9486" width="10.7109375" style="34" customWidth="1"/>
    <col min="9487" max="9728" width="9.140625" style="34" customWidth="1"/>
    <col min="9729" max="9729" width="8.7109375" style="34" hidden="1" customWidth="1"/>
    <col min="9730" max="9730" width="7.140625" style="34" customWidth="1"/>
    <col min="9731" max="9731" width="13.421875" style="34" customWidth="1"/>
    <col min="9732" max="9732" width="19.7109375" style="34" customWidth="1"/>
    <col min="9733" max="9733" width="18.421875" style="34" customWidth="1"/>
    <col min="9734" max="9734" width="13.140625" style="34" customWidth="1"/>
    <col min="9735" max="9736" width="16.7109375" style="34" customWidth="1"/>
    <col min="9737" max="9737" width="17.00390625" style="34" customWidth="1"/>
    <col min="9738" max="9738" width="20.7109375" style="34" customWidth="1"/>
    <col min="9739" max="9739" width="17.7109375" style="34" customWidth="1"/>
    <col min="9740" max="9742" width="10.7109375" style="34" customWidth="1"/>
    <col min="9743" max="9984" width="9.140625" style="34" customWidth="1"/>
    <col min="9985" max="9985" width="8.7109375" style="34" hidden="1" customWidth="1"/>
    <col min="9986" max="9986" width="7.140625" style="34" customWidth="1"/>
    <col min="9987" max="9987" width="13.421875" style="34" customWidth="1"/>
    <col min="9988" max="9988" width="19.7109375" style="34" customWidth="1"/>
    <col min="9989" max="9989" width="18.421875" style="34" customWidth="1"/>
    <col min="9990" max="9990" width="13.140625" style="34" customWidth="1"/>
    <col min="9991" max="9992" width="16.7109375" style="34" customWidth="1"/>
    <col min="9993" max="9993" width="17.00390625" style="34" customWidth="1"/>
    <col min="9994" max="9994" width="20.7109375" style="34" customWidth="1"/>
    <col min="9995" max="9995" width="17.7109375" style="34" customWidth="1"/>
    <col min="9996" max="9998" width="10.7109375" style="34" customWidth="1"/>
    <col min="9999" max="10240" width="9.140625" style="34" customWidth="1"/>
    <col min="10241" max="10241" width="8.7109375" style="34" hidden="1" customWidth="1"/>
    <col min="10242" max="10242" width="7.140625" style="34" customWidth="1"/>
    <col min="10243" max="10243" width="13.421875" style="34" customWidth="1"/>
    <col min="10244" max="10244" width="19.7109375" style="34" customWidth="1"/>
    <col min="10245" max="10245" width="18.421875" style="34" customWidth="1"/>
    <col min="10246" max="10246" width="13.140625" style="34" customWidth="1"/>
    <col min="10247" max="10248" width="16.7109375" style="34" customWidth="1"/>
    <col min="10249" max="10249" width="17.00390625" style="34" customWidth="1"/>
    <col min="10250" max="10250" width="20.7109375" style="34" customWidth="1"/>
    <col min="10251" max="10251" width="17.7109375" style="34" customWidth="1"/>
    <col min="10252" max="10254" width="10.7109375" style="34" customWidth="1"/>
    <col min="10255" max="10496" width="9.140625" style="34" customWidth="1"/>
    <col min="10497" max="10497" width="8.7109375" style="34" hidden="1" customWidth="1"/>
    <col min="10498" max="10498" width="7.140625" style="34" customWidth="1"/>
    <col min="10499" max="10499" width="13.421875" style="34" customWidth="1"/>
    <col min="10500" max="10500" width="19.7109375" style="34" customWidth="1"/>
    <col min="10501" max="10501" width="18.421875" style="34" customWidth="1"/>
    <col min="10502" max="10502" width="13.140625" style="34" customWidth="1"/>
    <col min="10503" max="10504" width="16.7109375" style="34" customWidth="1"/>
    <col min="10505" max="10505" width="17.00390625" style="34" customWidth="1"/>
    <col min="10506" max="10506" width="20.7109375" style="34" customWidth="1"/>
    <col min="10507" max="10507" width="17.7109375" style="34" customWidth="1"/>
    <col min="10508" max="10510" width="10.7109375" style="34" customWidth="1"/>
    <col min="10511" max="10752" width="9.140625" style="34" customWidth="1"/>
    <col min="10753" max="10753" width="8.7109375" style="34" hidden="1" customWidth="1"/>
    <col min="10754" max="10754" width="7.140625" style="34" customWidth="1"/>
    <col min="10755" max="10755" width="13.421875" style="34" customWidth="1"/>
    <col min="10756" max="10756" width="19.7109375" style="34" customWidth="1"/>
    <col min="10757" max="10757" width="18.421875" style="34" customWidth="1"/>
    <col min="10758" max="10758" width="13.140625" style="34" customWidth="1"/>
    <col min="10759" max="10760" width="16.7109375" style="34" customWidth="1"/>
    <col min="10761" max="10761" width="17.00390625" style="34" customWidth="1"/>
    <col min="10762" max="10762" width="20.7109375" style="34" customWidth="1"/>
    <col min="10763" max="10763" width="17.7109375" style="34" customWidth="1"/>
    <col min="10764" max="10766" width="10.7109375" style="34" customWidth="1"/>
    <col min="10767" max="11008" width="9.140625" style="34" customWidth="1"/>
    <col min="11009" max="11009" width="8.7109375" style="34" hidden="1" customWidth="1"/>
    <col min="11010" max="11010" width="7.140625" style="34" customWidth="1"/>
    <col min="11011" max="11011" width="13.421875" style="34" customWidth="1"/>
    <col min="11012" max="11012" width="19.7109375" style="34" customWidth="1"/>
    <col min="11013" max="11013" width="18.421875" style="34" customWidth="1"/>
    <col min="11014" max="11014" width="13.140625" style="34" customWidth="1"/>
    <col min="11015" max="11016" width="16.7109375" style="34" customWidth="1"/>
    <col min="11017" max="11017" width="17.00390625" style="34" customWidth="1"/>
    <col min="11018" max="11018" width="20.7109375" style="34" customWidth="1"/>
    <col min="11019" max="11019" width="17.7109375" style="34" customWidth="1"/>
    <col min="11020" max="11022" width="10.7109375" style="34" customWidth="1"/>
    <col min="11023" max="11264" width="9.140625" style="34" customWidth="1"/>
    <col min="11265" max="11265" width="8.7109375" style="34" hidden="1" customWidth="1"/>
    <col min="11266" max="11266" width="7.140625" style="34" customWidth="1"/>
    <col min="11267" max="11267" width="13.421875" style="34" customWidth="1"/>
    <col min="11268" max="11268" width="19.7109375" style="34" customWidth="1"/>
    <col min="11269" max="11269" width="18.421875" style="34" customWidth="1"/>
    <col min="11270" max="11270" width="13.140625" style="34" customWidth="1"/>
    <col min="11271" max="11272" width="16.7109375" style="34" customWidth="1"/>
    <col min="11273" max="11273" width="17.00390625" style="34" customWidth="1"/>
    <col min="11274" max="11274" width="20.7109375" style="34" customWidth="1"/>
    <col min="11275" max="11275" width="17.7109375" style="34" customWidth="1"/>
    <col min="11276" max="11278" width="10.7109375" style="34" customWidth="1"/>
    <col min="11279" max="11520" width="9.140625" style="34" customWidth="1"/>
    <col min="11521" max="11521" width="8.7109375" style="34" hidden="1" customWidth="1"/>
    <col min="11522" max="11522" width="7.140625" style="34" customWidth="1"/>
    <col min="11523" max="11523" width="13.421875" style="34" customWidth="1"/>
    <col min="11524" max="11524" width="19.7109375" style="34" customWidth="1"/>
    <col min="11525" max="11525" width="18.421875" style="34" customWidth="1"/>
    <col min="11526" max="11526" width="13.140625" style="34" customWidth="1"/>
    <col min="11527" max="11528" width="16.7109375" style="34" customWidth="1"/>
    <col min="11529" max="11529" width="17.00390625" style="34" customWidth="1"/>
    <col min="11530" max="11530" width="20.7109375" style="34" customWidth="1"/>
    <col min="11531" max="11531" width="17.7109375" style="34" customWidth="1"/>
    <col min="11532" max="11534" width="10.7109375" style="34" customWidth="1"/>
    <col min="11535" max="11776" width="9.140625" style="34" customWidth="1"/>
    <col min="11777" max="11777" width="8.7109375" style="34" hidden="1" customWidth="1"/>
    <col min="11778" max="11778" width="7.140625" style="34" customWidth="1"/>
    <col min="11779" max="11779" width="13.421875" style="34" customWidth="1"/>
    <col min="11780" max="11780" width="19.7109375" style="34" customWidth="1"/>
    <col min="11781" max="11781" width="18.421875" style="34" customWidth="1"/>
    <col min="11782" max="11782" width="13.140625" style="34" customWidth="1"/>
    <col min="11783" max="11784" width="16.7109375" style="34" customWidth="1"/>
    <col min="11785" max="11785" width="17.00390625" style="34" customWidth="1"/>
    <col min="11786" max="11786" width="20.7109375" style="34" customWidth="1"/>
    <col min="11787" max="11787" width="17.7109375" style="34" customWidth="1"/>
    <col min="11788" max="11790" width="10.7109375" style="34" customWidth="1"/>
    <col min="11791" max="12032" width="9.140625" style="34" customWidth="1"/>
    <col min="12033" max="12033" width="8.7109375" style="34" hidden="1" customWidth="1"/>
    <col min="12034" max="12034" width="7.140625" style="34" customWidth="1"/>
    <col min="12035" max="12035" width="13.421875" style="34" customWidth="1"/>
    <col min="12036" max="12036" width="19.7109375" style="34" customWidth="1"/>
    <col min="12037" max="12037" width="18.421875" style="34" customWidth="1"/>
    <col min="12038" max="12038" width="13.140625" style="34" customWidth="1"/>
    <col min="12039" max="12040" width="16.7109375" style="34" customWidth="1"/>
    <col min="12041" max="12041" width="17.00390625" style="34" customWidth="1"/>
    <col min="12042" max="12042" width="20.7109375" style="34" customWidth="1"/>
    <col min="12043" max="12043" width="17.7109375" style="34" customWidth="1"/>
    <col min="12044" max="12046" width="10.7109375" style="34" customWidth="1"/>
    <col min="12047" max="12288" width="9.140625" style="34" customWidth="1"/>
    <col min="12289" max="12289" width="8.7109375" style="34" hidden="1" customWidth="1"/>
    <col min="12290" max="12290" width="7.140625" style="34" customWidth="1"/>
    <col min="12291" max="12291" width="13.421875" style="34" customWidth="1"/>
    <col min="12292" max="12292" width="19.7109375" style="34" customWidth="1"/>
    <col min="12293" max="12293" width="18.421875" style="34" customWidth="1"/>
    <col min="12294" max="12294" width="13.140625" style="34" customWidth="1"/>
    <col min="12295" max="12296" width="16.7109375" style="34" customWidth="1"/>
    <col min="12297" max="12297" width="17.00390625" style="34" customWidth="1"/>
    <col min="12298" max="12298" width="20.7109375" style="34" customWidth="1"/>
    <col min="12299" max="12299" width="17.7109375" style="34" customWidth="1"/>
    <col min="12300" max="12302" width="10.7109375" style="34" customWidth="1"/>
    <col min="12303" max="12544" width="9.140625" style="34" customWidth="1"/>
    <col min="12545" max="12545" width="8.7109375" style="34" hidden="1" customWidth="1"/>
    <col min="12546" max="12546" width="7.140625" style="34" customWidth="1"/>
    <col min="12547" max="12547" width="13.421875" style="34" customWidth="1"/>
    <col min="12548" max="12548" width="19.7109375" style="34" customWidth="1"/>
    <col min="12549" max="12549" width="18.421875" style="34" customWidth="1"/>
    <col min="12550" max="12550" width="13.140625" style="34" customWidth="1"/>
    <col min="12551" max="12552" width="16.7109375" style="34" customWidth="1"/>
    <col min="12553" max="12553" width="17.00390625" style="34" customWidth="1"/>
    <col min="12554" max="12554" width="20.7109375" style="34" customWidth="1"/>
    <col min="12555" max="12555" width="17.7109375" style="34" customWidth="1"/>
    <col min="12556" max="12558" width="10.7109375" style="34" customWidth="1"/>
    <col min="12559" max="12800" width="9.140625" style="34" customWidth="1"/>
    <col min="12801" max="12801" width="8.7109375" style="34" hidden="1" customWidth="1"/>
    <col min="12802" max="12802" width="7.140625" style="34" customWidth="1"/>
    <col min="12803" max="12803" width="13.421875" style="34" customWidth="1"/>
    <col min="12804" max="12804" width="19.7109375" style="34" customWidth="1"/>
    <col min="12805" max="12805" width="18.421875" style="34" customWidth="1"/>
    <col min="12806" max="12806" width="13.140625" style="34" customWidth="1"/>
    <col min="12807" max="12808" width="16.7109375" style="34" customWidth="1"/>
    <col min="12809" max="12809" width="17.00390625" style="34" customWidth="1"/>
    <col min="12810" max="12810" width="20.7109375" style="34" customWidth="1"/>
    <col min="12811" max="12811" width="17.7109375" style="34" customWidth="1"/>
    <col min="12812" max="12814" width="10.7109375" style="34" customWidth="1"/>
    <col min="12815" max="13056" width="9.140625" style="34" customWidth="1"/>
    <col min="13057" max="13057" width="8.7109375" style="34" hidden="1" customWidth="1"/>
    <col min="13058" max="13058" width="7.140625" style="34" customWidth="1"/>
    <col min="13059" max="13059" width="13.421875" style="34" customWidth="1"/>
    <col min="13060" max="13060" width="19.7109375" style="34" customWidth="1"/>
    <col min="13061" max="13061" width="18.421875" style="34" customWidth="1"/>
    <col min="13062" max="13062" width="13.140625" style="34" customWidth="1"/>
    <col min="13063" max="13064" width="16.7109375" style="34" customWidth="1"/>
    <col min="13065" max="13065" width="17.00390625" style="34" customWidth="1"/>
    <col min="13066" max="13066" width="20.7109375" style="34" customWidth="1"/>
    <col min="13067" max="13067" width="17.7109375" style="34" customWidth="1"/>
    <col min="13068" max="13070" width="10.7109375" style="34" customWidth="1"/>
    <col min="13071" max="13312" width="9.140625" style="34" customWidth="1"/>
    <col min="13313" max="13313" width="8.7109375" style="34" hidden="1" customWidth="1"/>
    <col min="13314" max="13314" width="7.140625" style="34" customWidth="1"/>
    <col min="13315" max="13315" width="13.421875" style="34" customWidth="1"/>
    <col min="13316" max="13316" width="19.7109375" style="34" customWidth="1"/>
    <col min="13317" max="13317" width="18.421875" style="34" customWidth="1"/>
    <col min="13318" max="13318" width="13.140625" style="34" customWidth="1"/>
    <col min="13319" max="13320" width="16.7109375" style="34" customWidth="1"/>
    <col min="13321" max="13321" width="17.00390625" style="34" customWidth="1"/>
    <col min="13322" max="13322" width="20.7109375" style="34" customWidth="1"/>
    <col min="13323" max="13323" width="17.7109375" style="34" customWidth="1"/>
    <col min="13324" max="13326" width="10.7109375" style="34" customWidth="1"/>
    <col min="13327" max="13568" width="9.140625" style="34" customWidth="1"/>
    <col min="13569" max="13569" width="8.7109375" style="34" hidden="1" customWidth="1"/>
    <col min="13570" max="13570" width="7.140625" style="34" customWidth="1"/>
    <col min="13571" max="13571" width="13.421875" style="34" customWidth="1"/>
    <col min="13572" max="13572" width="19.7109375" style="34" customWidth="1"/>
    <col min="13573" max="13573" width="18.421875" style="34" customWidth="1"/>
    <col min="13574" max="13574" width="13.140625" style="34" customWidth="1"/>
    <col min="13575" max="13576" width="16.7109375" style="34" customWidth="1"/>
    <col min="13577" max="13577" width="17.00390625" style="34" customWidth="1"/>
    <col min="13578" max="13578" width="20.7109375" style="34" customWidth="1"/>
    <col min="13579" max="13579" width="17.7109375" style="34" customWidth="1"/>
    <col min="13580" max="13582" width="10.7109375" style="34" customWidth="1"/>
    <col min="13583" max="13824" width="9.140625" style="34" customWidth="1"/>
    <col min="13825" max="13825" width="8.7109375" style="34" hidden="1" customWidth="1"/>
    <col min="13826" max="13826" width="7.140625" style="34" customWidth="1"/>
    <col min="13827" max="13827" width="13.421875" style="34" customWidth="1"/>
    <col min="13828" max="13828" width="19.7109375" style="34" customWidth="1"/>
    <col min="13829" max="13829" width="18.421875" style="34" customWidth="1"/>
    <col min="13830" max="13830" width="13.140625" style="34" customWidth="1"/>
    <col min="13831" max="13832" width="16.7109375" style="34" customWidth="1"/>
    <col min="13833" max="13833" width="17.00390625" style="34" customWidth="1"/>
    <col min="13834" max="13834" width="20.7109375" style="34" customWidth="1"/>
    <col min="13835" max="13835" width="17.7109375" style="34" customWidth="1"/>
    <col min="13836" max="13838" width="10.7109375" style="34" customWidth="1"/>
    <col min="13839" max="14080" width="9.140625" style="34" customWidth="1"/>
    <col min="14081" max="14081" width="8.7109375" style="34" hidden="1" customWidth="1"/>
    <col min="14082" max="14082" width="7.140625" style="34" customWidth="1"/>
    <col min="14083" max="14083" width="13.421875" style="34" customWidth="1"/>
    <col min="14084" max="14084" width="19.7109375" style="34" customWidth="1"/>
    <col min="14085" max="14085" width="18.421875" style="34" customWidth="1"/>
    <col min="14086" max="14086" width="13.140625" style="34" customWidth="1"/>
    <col min="14087" max="14088" width="16.7109375" style="34" customWidth="1"/>
    <col min="14089" max="14089" width="17.00390625" style="34" customWidth="1"/>
    <col min="14090" max="14090" width="20.7109375" style="34" customWidth="1"/>
    <col min="14091" max="14091" width="17.7109375" style="34" customWidth="1"/>
    <col min="14092" max="14094" width="10.7109375" style="34" customWidth="1"/>
    <col min="14095" max="14336" width="9.140625" style="34" customWidth="1"/>
    <col min="14337" max="14337" width="8.7109375" style="34" hidden="1" customWidth="1"/>
    <col min="14338" max="14338" width="7.140625" style="34" customWidth="1"/>
    <col min="14339" max="14339" width="13.421875" style="34" customWidth="1"/>
    <col min="14340" max="14340" width="19.7109375" style="34" customWidth="1"/>
    <col min="14341" max="14341" width="18.421875" style="34" customWidth="1"/>
    <col min="14342" max="14342" width="13.140625" style="34" customWidth="1"/>
    <col min="14343" max="14344" width="16.7109375" style="34" customWidth="1"/>
    <col min="14345" max="14345" width="17.00390625" style="34" customWidth="1"/>
    <col min="14346" max="14346" width="20.7109375" style="34" customWidth="1"/>
    <col min="14347" max="14347" width="17.7109375" style="34" customWidth="1"/>
    <col min="14348" max="14350" width="10.7109375" style="34" customWidth="1"/>
    <col min="14351" max="14592" width="9.140625" style="34" customWidth="1"/>
    <col min="14593" max="14593" width="8.7109375" style="34" hidden="1" customWidth="1"/>
    <col min="14594" max="14594" width="7.140625" style="34" customWidth="1"/>
    <col min="14595" max="14595" width="13.421875" style="34" customWidth="1"/>
    <col min="14596" max="14596" width="19.7109375" style="34" customWidth="1"/>
    <col min="14597" max="14597" width="18.421875" style="34" customWidth="1"/>
    <col min="14598" max="14598" width="13.140625" style="34" customWidth="1"/>
    <col min="14599" max="14600" width="16.7109375" style="34" customWidth="1"/>
    <col min="14601" max="14601" width="17.00390625" style="34" customWidth="1"/>
    <col min="14602" max="14602" width="20.7109375" style="34" customWidth="1"/>
    <col min="14603" max="14603" width="17.7109375" style="34" customWidth="1"/>
    <col min="14604" max="14606" width="10.7109375" style="34" customWidth="1"/>
    <col min="14607" max="14848" width="9.140625" style="34" customWidth="1"/>
    <col min="14849" max="14849" width="8.7109375" style="34" hidden="1" customWidth="1"/>
    <col min="14850" max="14850" width="7.140625" style="34" customWidth="1"/>
    <col min="14851" max="14851" width="13.421875" style="34" customWidth="1"/>
    <col min="14852" max="14852" width="19.7109375" style="34" customWidth="1"/>
    <col min="14853" max="14853" width="18.421875" style="34" customWidth="1"/>
    <col min="14854" max="14854" width="13.140625" style="34" customWidth="1"/>
    <col min="14855" max="14856" width="16.7109375" style="34" customWidth="1"/>
    <col min="14857" max="14857" width="17.00390625" style="34" customWidth="1"/>
    <col min="14858" max="14858" width="20.7109375" style="34" customWidth="1"/>
    <col min="14859" max="14859" width="17.7109375" style="34" customWidth="1"/>
    <col min="14860" max="14862" width="10.7109375" style="34" customWidth="1"/>
    <col min="14863" max="15104" width="9.140625" style="34" customWidth="1"/>
    <col min="15105" max="15105" width="8.7109375" style="34" hidden="1" customWidth="1"/>
    <col min="15106" max="15106" width="7.140625" style="34" customWidth="1"/>
    <col min="15107" max="15107" width="13.421875" style="34" customWidth="1"/>
    <col min="15108" max="15108" width="19.7109375" style="34" customWidth="1"/>
    <col min="15109" max="15109" width="18.421875" style="34" customWidth="1"/>
    <col min="15110" max="15110" width="13.140625" style="34" customWidth="1"/>
    <col min="15111" max="15112" width="16.7109375" style="34" customWidth="1"/>
    <col min="15113" max="15113" width="17.00390625" style="34" customWidth="1"/>
    <col min="15114" max="15114" width="20.7109375" style="34" customWidth="1"/>
    <col min="15115" max="15115" width="17.7109375" style="34" customWidth="1"/>
    <col min="15116" max="15118" width="10.7109375" style="34" customWidth="1"/>
    <col min="15119" max="15360" width="9.140625" style="34" customWidth="1"/>
    <col min="15361" max="15361" width="8.7109375" style="34" hidden="1" customWidth="1"/>
    <col min="15362" max="15362" width="7.140625" style="34" customWidth="1"/>
    <col min="15363" max="15363" width="13.421875" style="34" customWidth="1"/>
    <col min="15364" max="15364" width="19.7109375" style="34" customWidth="1"/>
    <col min="15365" max="15365" width="18.421875" style="34" customWidth="1"/>
    <col min="15366" max="15366" width="13.140625" style="34" customWidth="1"/>
    <col min="15367" max="15368" width="16.7109375" style="34" customWidth="1"/>
    <col min="15369" max="15369" width="17.00390625" style="34" customWidth="1"/>
    <col min="15370" max="15370" width="20.7109375" style="34" customWidth="1"/>
    <col min="15371" max="15371" width="17.7109375" style="34" customWidth="1"/>
    <col min="15372" max="15374" width="10.7109375" style="34" customWidth="1"/>
    <col min="15375" max="15616" width="9.140625" style="34" customWidth="1"/>
    <col min="15617" max="15617" width="8.7109375" style="34" hidden="1" customWidth="1"/>
    <col min="15618" max="15618" width="7.140625" style="34" customWidth="1"/>
    <col min="15619" max="15619" width="13.421875" style="34" customWidth="1"/>
    <col min="15620" max="15620" width="19.7109375" style="34" customWidth="1"/>
    <col min="15621" max="15621" width="18.421875" style="34" customWidth="1"/>
    <col min="15622" max="15622" width="13.140625" style="34" customWidth="1"/>
    <col min="15623" max="15624" width="16.7109375" style="34" customWidth="1"/>
    <col min="15625" max="15625" width="17.00390625" style="34" customWidth="1"/>
    <col min="15626" max="15626" width="20.7109375" style="34" customWidth="1"/>
    <col min="15627" max="15627" width="17.7109375" style="34" customWidth="1"/>
    <col min="15628" max="15630" width="10.7109375" style="34" customWidth="1"/>
    <col min="15631" max="15872" width="9.140625" style="34" customWidth="1"/>
    <col min="15873" max="15873" width="8.7109375" style="34" hidden="1" customWidth="1"/>
    <col min="15874" max="15874" width="7.140625" style="34" customWidth="1"/>
    <col min="15875" max="15875" width="13.421875" style="34" customWidth="1"/>
    <col min="15876" max="15876" width="19.7109375" style="34" customWidth="1"/>
    <col min="15877" max="15877" width="18.421875" style="34" customWidth="1"/>
    <col min="15878" max="15878" width="13.140625" style="34" customWidth="1"/>
    <col min="15879" max="15880" width="16.7109375" style="34" customWidth="1"/>
    <col min="15881" max="15881" width="17.00390625" style="34" customWidth="1"/>
    <col min="15882" max="15882" width="20.7109375" style="34" customWidth="1"/>
    <col min="15883" max="15883" width="17.7109375" style="34" customWidth="1"/>
    <col min="15884" max="15886" width="10.7109375" style="34" customWidth="1"/>
    <col min="15887" max="16128" width="9.140625" style="34" customWidth="1"/>
    <col min="16129" max="16129" width="8.7109375" style="34" hidden="1" customWidth="1"/>
    <col min="16130" max="16130" width="7.140625" style="34" customWidth="1"/>
    <col min="16131" max="16131" width="13.421875" style="34" customWidth="1"/>
    <col min="16132" max="16132" width="19.7109375" style="34" customWidth="1"/>
    <col min="16133" max="16133" width="18.421875" style="34" customWidth="1"/>
    <col min="16134" max="16134" width="13.140625" style="34" customWidth="1"/>
    <col min="16135" max="16136" width="16.7109375" style="34" customWidth="1"/>
    <col min="16137" max="16137" width="17.00390625" style="34" customWidth="1"/>
    <col min="16138" max="16138" width="20.7109375" style="34" customWidth="1"/>
    <col min="16139" max="16139" width="17.7109375" style="34" customWidth="1"/>
    <col min="16140" max="16142" width="10.7109375" style="34" customWidth="1"/>
    <col min="16143" max="16384" width="9.140625" style="34" customWidth="1"/>
  </cols>
  <sheetData>
    <row r="1" ht="12" customHeight="1"/>
    <row r="2" spans="2:10" ht="17.25" customHeight="1">
      <c r="B2" s="426" t="s">
        <v>1802</v>
      </c>
      <c r="C2" s="427"/>
      <c r="D2" s="427"/>
      <c r="E2" s="427"/>
      <c r="F2" s="427"/>
      <c r="G2" s="427"/>
      <c r="H2" s="427"/>
      <c r="I2" s="427"/>
      <c r="J2" s="36"/>
    </row>
    <row r="3" spans="2:10" ht="17.25" customHeight="1">
      <c r="B3" s="288"/>
      <c r="C3" s="289"/>
      <c r="D3" s="289"/>
      <c r="E3" s="289"/>
      <c r="F3" s="289"/>
      <c r="G3" s="289"/>
      <c r="H3" s="289"/>
      <c r="I3" s="289"/>
      <c r="J3" s="36"/>
    </row>
    <row r="4" spans="2:9" ht="12.75" customHeight="1">
      <c r="B4" s="428" t="s">
        <v>439</v>
      </c>
      <c r="C4" s="427"/>
      <c r="D4" s="427"/>
      <c r="E4" s="427"/>
      <c r="F4" s="427"/>
      <c r="G4" s="427"/>
      <c r="H4" s="427"/>
      <c r="I4" s="427"/>
    </row>
    <row r="5" ht="12.75" customHeight="1"/>
    <row r="6" spans="3:14" ht="21" customHeight="1">
      <c r="C6" s="37" t="s">
        <v>28</v>
      </c>
      <c r="D6" s="38" t="s">
        <v>438</v>
      </c>
      <c r="E6" s="39"/>
      <c r="F6" s="39"/>
      <c r="G6" s="39"/>
      <c r="H6" s="39"/>
      <c r="I6" s="40"/>
      <c r="N6" s="41"/>
    </row>
    <row r="7" spans="3:14" ht="13.5" customHeight="1">
      <c r="C7" s="37"/>
      <c r="D7" s="42"/>
      <c r="E7" s="43"/>
      <c r="F7" s="43"/>
      <c r="G7" s="43"/>
      <c r="H7" s="44"/>
      <c r="I7" s="40"/>
      <c r="N7" s="41"/>
    </row>
    <row r="8" spans="3:10" ht="15">
      <c r="C8" s="45" t="s">
        <v>29</v>
      </c>
      <c r="D8" s="46" t="s">
        <v>186</v>
      </c>
      <c r="H8" s="47"/>
      <c r="J8" s="46"/>
    </row>
    <row r="9" spans="3:10" ht="15">
      <c r="C9" s="46"/>
      <c r="D9" s="46"/>
      <c r="H9" s="47"/>
      <c r="J9" s="46"/>
    </row>
    <row r="10" spans="3:10" ht="15">
      <c r="C10" s="45" t="s">
        <v>30</v>
      </c>
      <c r="D10" s="117" t="s">
        <v>187</v>
      </c>
      <c r="H10" s="47"/>
      <c r="J10" s="46"/>
    </row>
    <row r="11" spans="4:10" ht="15">
      <c r="D11" s="46"/>
      <c r="H11" s="47"/>
      <c r="J11" s="46"/>
    </row>
    <row r="12" spans="3:8" ht="24.75" customHeight="1">
      <c r="C12" s="290" t="s">
        <v>31</v>
      </c>
      <c r="H12" s="290" t="s">
        <v>32</v>
      </c>
    </row>
    <row r="13" ht="12.75" customHeight="1"/>
    <row r="14" spans="3:8" ht="28.5" customHeight="1">
      <c r="C14" s="290" t="s">
        <v>33</v>
      </c>
      <c r="H14" s="290" t="s">
        <v>33</v>
      </c>
    </row>
    <row r="15" ht="25.5" customHeight="1"/>
    <row r="16" spans="2:10" ht="13.5" customHeight="1">
      <c r="B16" s="48"/>
      <c r="C16" s="49"/>
      <c r="D16" s="49"/>
      <c r="E16" s="50"/>
      <c r="F16" s="51"/>
      <c r="G16" s="52"/>
      <c r="H16" s="53"/>
      <c r="I16" s="54" t="s">
        <v>34</v>
      </c>
      <c r="J16" s="55"/>
    </row>
    <row r="17" spans="2:10" ht="15" customHeight="1">
      <c r="B17" s="56" t="s">
        <v>35</v>
      </c>
      <c r="C17" s="57"/>
      <c r="D17" s="58">
        <v>15</v>
      </c>
      <c r="E17" s="59" t="s">
        <v>21</v>
      </c>
      <c r="F17" s="60"/>
      <c r="G17" s="61"/>
      <c r="H17" s="61"/>
      <c r="I17" s="62"/>
      <c r="J17" s="63"/>
    </row>
    <row r="18" spans="2:10" ht="15">
      <c r="B18" s="56" t="s">
        <v>36</v>
      </c>
      <c r="C18" s="57"/>
      <c r="D18" s="58">
        <v>15</v>
      </c>
      <c r="E18" s="59" t="s">
        <v>21</v>
      </c>
      <c r="F18" s="64"/>
      <c r="G18" s="65"/>
      <c r="H18" s="65"/>
      <c r="I18" s="66"/>
      <c r="J18" s="63"/>
    </row>
    <row r="19" spans="2:10" ht="15">
      <c r="B19" s="56" t="s">
        <v>35</v>
      </c>
      <c r="C19" s="57"/>
      <c r="D19" s="58">
        <v>21</v>
      </c>
      <c r="E19" s="59" t="s">
        <v>21</v>
      </c>
      <c r="F19" s="64"/>
      <c r="G19" s="65"/>
      <c r="H19" s="65"/>
      <c r="I19" s="66">
        <f>StavbaCelkem</f>
        <v>0</v>
      </c>
      <c r="J19" s="63"/>
    </row>
    <row r="20" spans="2:10" ht="13.8" thickBot="1">
      <c r="B20" s="56" t="s">
        <v>36</v>
      </c>
      <c r="C20" s="57"/>
      <c r="D20" s="58">
        <v>21</v>
      </c>
      <c r="E20" s="59" t="s">
        <v>21</v>
      </c>
      <c r="F20" s="67"/>
      <c r="G20" s="68"/>
      <c r="H20" s="68"/>
      <c r="I20" s="69">
        <f>I39</f>
        <v>0</v>
      </c>
      <c r="J20" s="63"/>
    </row>
    <row r="21" spans="1:10" ht="16.2" thickBot="1">
      <c r="A21" s="147"/>
      <c r="B21" s="148" t="s">
        <v>37</v>
      </c>
      <c r="C21" s="149"/>
      <c r="D21" s="149"/>
      <c r="E21" s="150"/>
      <c r="F21" s="151"/>
      <c r="G21" s="152"/>
      <c r="H21" s="152"/>
      <c r="I21" s="153">
        <f>SUM(I17:I20)</f>
        <v>0</v>
      </c>
      <c r="J21" s="70"/>
    </row>
    <row r="23" ht="15">
      <c r="J23" s="71"/>
    </row>
    <row r="24" ht="1.5" customHeight="1"/>
    <row r="25" spans="2:11" ht="15.75" customHeight="1">
      <c r="B25" s="72" t="s">
        <v>38</v>
      </c>
      <c r="C25" s="288"/>
      <c r="D25" s="288"/>
      <c r="E25" s="288"/>
      <c r="F25" s="288"/>
      <c r="G25" s="288"/>
      <c r="H25" s="288"/>
      <c r="I25" s="288"/>
      <c r="J25" s="73"/>
      <c r="K25" s="74"/>
    </row>
    <row r="26" ht="5.25" customHeight="1">
      <c r="K26" s="74"/>
    </row>
    <row r="27" spans="2:9" ht="24" customHeight="1">
      <c r="B27" s="75" t="s">
        <v>39</v>
      </c>
      <c r="C27" s="76"/>
      <c r="D27" s="76"/>
      <c r="E27" s="77"/>
      <c r="F27" s="78" t="s">
        <v>7</v>
      </c>
      <c r="G27" s="79" t="str">
        <f>CONCATENATE("Základ DPH ",SazbaDPH1," %")</f>
        <v>Základ DPH 15 %</v>
      </c>
      <c r="H27" s="78" t="str">
        <f>CONCATENATE("Základ DPH ",SazbaDPH2," %")</f>
        <v>Základ DPH 21 %</v>
      </c>
      <c r="I27" s="78" t="s">
        <v>40</v>
      </c>
    </row>
    <row r="28" spans="2:11" ht="15">
      <c r="B28" s="80" t="s">
        <v>22</v>
      </c>
      <c r="C28" s="81"/>
      <c r="D28" s="82"/>
      <c r="E28" s="83"/>
      <c r="F28" s="84"/>
      <c r="G28" s="85"/>
      <c r="H28" s="85"/>
      <c r="I28" s="86"/>
      <c r="K28" s="87"/>
    </row>
    <row r="29" spans="2:12" ht="15">
      <c r="B29" s="88"/>
      <c r="C29" s="429" t="s">
        <v>41</v>
      </c>
      <c r="D29" s="430"/>
      <c r="E29" s="431"/>
      <c r="F29" s="89">
        <f aca="true" t="shared" si="0" ref="F29:F38">H29+I29</f>
        <v>0</v>
      </c>
      <c r="G29" s="89"/>
      <c r="H29" s="90">
        <f>VRN!G23</f>
        <v>0</v>
      </c>
      <c r="I29" s="91">
        <f aca="true" t="shared" si="1" ref="I29:I30">(G29*SazbaDPH1)/100+(H29*SazbaDPH2)/100</f>
        <v>0</v>
      </c>
      <c r="K29" s="92"/>
      <c r="L29" s="92"/>
    </row>
    <row r="30" spans="2:12" ht="15">
      <c r="B30" s="88"/>
      <c r="C30" s="291" t="s">
        <v>94</v>
      </c>
      <c r="D30" s="292"/>
      <c r="E30" s="293"/>
      <c r="F30" s="89">
        <f t="shared" si="0"/>
        <v>0</v>
      </c>
      <c r="G30" s="89"/>
      <c r="H30" s="90">
        <f>'Stavební  část'!H771</f>
        <v>0</v>
      </c>
      <c r="I30" s="91">
        <f t="shared" si="1"/>
        <v>0</v>
      </c>
      <c r="K30" s="92"/>
      <c r="L30" s="92"/>
    </row>
    <row r="31" spans="2:12" ht="15">
      <c r="B31" s="191"/>
      <c r="C31" s="192" t="s">
        <v>385</v>
      </c>
      <c r="D31" s="193"/>
      <c r="E31" s="194"/>
      <c r="F31" s="90">
        <f t="shared" si="0"/>
        <v>0</v>
      </c>
      <c r="G31" s="90"/>
      <c r="H31" s="90">
        <f>'Zpevněné plochy'!H117</f>
        <v>0</v>
      </c>
      <c r="I31" s="195">
        <f aca="true" t="shared" si="2" ref="I31:I38">(G31*SazbaDPH1)/100+(H31*SazbaDPH2)/100</f>
        <v>0</v>
      </c>
      <c r="K31" s="92"/>
      <c r="L31" s="92"/>
    </row>
    <row r="32" spans="1:12" ht="15">
      <c r="A32" s="100"/>
      <c r="B32" s="191"/>
      <c r="C32" s="192" t="s">
        <v>386</v>
      </c>
      <c r="D32" s="193"/>
      <c r="E32" s="194"/>
      <c r="F32" s="90">
        <f t="shared" si="0"/>
        <v>0</v>
      </c>
      <c r="G32" s="90"/>
      <c r="H32" s="90">
        <f>Silnoproud!G128+Silnoproud!G244</f>
        <v>0</v>
      </c>
      <c r="I32" s="195">
        <f t="shared" si="2"/>
        <v>0</v>
      </c>
      <c r="K32" s="92"/>
      <c r="L32" s="92"/>
    </row>
    <row r="33" spans="1:12" ht="15">
      <c r="A33" s="100"/>
      <c r="B33" s="191"/>
      <c r="C33" s="192" t="s">
        <v>387</v>
      </c>
      <c r="D33" s="193"/>
      <c r="E33" s="194"/>
      <c r="F33" s="90">
        <f t="shared" si="0"/>
        <v>0</v>
      </c>
      <c r="G33" s="90"/>
      <c r="H33" s="90">
        <f>Slaboproud!E158</f>
        <v>0</v>
      </c>
      <c r="I33" s="195">
        <f t="shared" si="2"/>
        <v>0</v>
      </c>
      <c r="K33" s="92"/>
      <c r="L33" s="92"/>
    </row>
    <row r="34" spans="1:12" ht="15">
      <c r="A34" s="100"/>
      <c r="B34" s="191"/>
      <c r="C34" s="192" t="s">
        <v>388</v>
      </c>
      <c r="D34" s="193"/>
      <c r="E34" s="194"/>
      <c r="F34" s="90">
        <f t="shared" si="0"/>
        <v>0</v>
      </c>
      <c r="G34" s="90"/>
      <c r="H34" s="90">
        <f>EZS!E76</f>
        <v>0</v>
      </c>
      <c r="I34" s="195">
        <f t="shared" si="2"/>
        <v>0</v>
      </c>
      <c r="K34" s="92"/>
      <c r="L34" s="92"/>
    </row>
    <row r="35" spans="1:12" ht="15">
      <c r="A35" s="100"/>
      <c r="B35" s="191"/>
      <c r="C35" s="192" t="s">
        <v>390</v>
      </c>
      <c r="D35" s="193"/>
      <c r="E35" s="194"/>
      <c r="F35" s="90">
        <f t="shared" si="0"/>
        <v>0</v>
      </c>
      <c r="G35" s="90"/>
      <c r="H35" s="90">
        <f>Kanalizace!G40</f>
        <v>0</v>
      </c>
      <c r="I35" s="195">
        <f t="shared" si="2"/>
        <v>0</v>
      </c>
      <c r="K35" s="92"/>
      <c r="L35" s="92"/>
    </row>
    <row r="36" spans="1:12" ht="15">
      <c r="A36" s="100"/>
      <c r="B36" s="191"/>
      <c r="C36" s="192" t="s">
        <v>389</v>
      </c>
      <c r="D36" s="193"/>
      <c r="E36" s="194"/>
      <c r="F36" s="90">
        <f t="shared" si="0"/>
        <v>0</v>
      </c>
      <c r="G36" s="90"/>
      <c r="H36" s="90">
        <f>Vytápění!G58</f>
        <v>0</v>
      </c>
      <c r="I36" s="195">
        <f t="shared" si="2"/>
        <v>0</v>
      </c>
      <c r="K36" s="92"/>
      <c r="L36" s="92"/>
    </row>
    <row r="37" spans="1:12" ht="15">
      <c r="A37" s="100"/>
      <c r="B37" s="191"/>
      <c r="C37" s="192" t="s">
        <v>109</v>
      </c>
      <c r="D37" s="193"/>
      <c r="E37" s="194"/>
      <c r="F37" s="90">
        <f t="shared" si="0"/>
        <v>0</v>
      </c>
      <c r="G37" s="90"/>
      <c r="H37" s="90">
        <f>Vzduchotechnika!G50</f>
        <v>0</v>
      </c>
      <c r="I37" s="195">
        <f t="shared" si="2"/>
        <v>0</v>
      </c>
      <c r="K37" s="92"/>
      <c r="L37" s="92"/>
    </row>
    <row r="38" spans="1:12" ht="15">
      <c r="A38" s="100"/>
      <c r="B38" s="191"/>
      <c r="C38" s="192" t="s">
        <v>1711</v>
      </c>
      <c r="D38" s="193"/>
      <c r="E38" s="194"/>
      <c r="F38" s="90">
        <f t="shared" si="0"/>
        <v>0</v>
      </c>
      <c r="G38" s="90"/>
      <c r="H38" s="90">
        <f>ZTI!G104</f>
        <v>0</v>
      </c>
      <c r="I38" s="195">
        <f t="shared" si="2"/>
        <v>0</v>
      </c>
      <c r="K38" s="92"/>
      <c r="L38" s="92"/>
    </row>
    <row r="39" spans="1:9" ht="17.25" customHeight="1">
      <c r="A39" s="116"/>
      <c r="B39" s="154" t="s">
        <v>42</v>
      </c>
      <c r="C39" s="155"/>
      <c r="D39" s="156"/>
      <c r="E39" s="157"/>
      <c r="F39" s="158">
        <f>SUM(F29:F38)</f>
        <v>0</v>
      </c>
      <c r="G39" s="158"/>
      <c r="H39" s="158">
        <f>SUM(H29:H38)</f>
        <v>0</v>
      </c>
      <c r="I39" s="158">
        <f>SUM(I29:I38)</f>
        <v>0</v>
      </c>
    </row>
    <row r="40" spans="2:9" s="100" customFormat="1" ht="17.25" customHeight="1">
      <c r="B40" s="101"/>
      <c r="C40" s="102"/>
      <c r="D40" s="101"/>
      <c r="E40" s="103"/>
      <c r="F40" s="104"/>
      <c r="G40" s="104"/>
      <c r="H40" s="104"/>
      <c r="I40" s="104"/>
    </row>
    <row r="41" spans="2:9" ht="17.4">
      <c r="B41" s="72" t="s">
        <v>24</v>
      </c>
      <c r="C41" s="288"/>
      <c r="D41" s="288"/>
      <c r="E41" s="288"/>
      <c r="F41" s="288"/>
      <c r="G41" s="288"/>
      <c r="H41" s="288"/>
      <c r="I41" s="288"/>
    </row>
    <row r="42" spans="1:9" s="93" customFormat="1" ht="26.25" customHeight="1">
      <c r="A42" s="432" t="s">
        <v>43</v>
      </c>
      <c r="B42" s="433"/>
      <c r="C42" s="433"/>
      <c r="D42" s="433"/>
      <c r="E42" s="433"/>
      <c r="F42" s="433"/>
      <c r="G42" s="433"/>
      <c r="H42" s="433"/>
      <c r="I42" s="433"/>
    </row>
    <row r="43" spans="1:15" s="96" customFormat="1" ht="44.25" customHeight="1">
      <c r="A43" s="434" t="s">
        <v>44</v>
      </c>
      <c r="B43" s="424"/>
      <c r="C43" s="424"/>
      <c r="D43" s="424"/>
      <c r="E43" s="424"/>
      <c r="F43" s="424"/>
      <c r="G43" s="424"/>
      <c r="H43" s="425"/>
      <c r="I43" s="425"/>
      <c r="J43" s="94"/>
      <c r="K43" s="95"/>
      <c r="M43" s="97"/>
      <c r="O43" s="98"/>
    </row>
    <row r="44" spans="1:13" s="96" customFormat="1" ht="24.45" customHeight="1">
      <c r="A44" s="423" t="s">
        <v>391</v>
      </c>
      <c r="B44" s="424"/>
      <c r="C44" s="424"/>
      <c r="D44" s="424"/>
      <c r="E44" s="424"/>
      <c r="F44" s="424"/>
      <c r="G44" s="424"/>
      <c r="H44" s="425"/>
      <c r="I44" s="425"/>
      <c r="J44" s="94"/>
      <c r="K44" s="95"/>
      <c r="M44" s="99"/>
    </row>
  </sheetData>
  <sheetProtection algorithmName="SHA-512" hashValue="QCJ2ZjGzJXc+pwJ/C6VSsHjHhzkcuL5qD8aDKLmXkqQLFlka5552ZoVO9l4XN7zX/Phs9pvS4j8NNr/QZ8Et8w==" saltValue="blGvNU6sHiIvpXd/rYoDBg==" spinCount="100000" sheet="1" objects="1" scenarios="1"/>
  <mergeCells count="6">
    <mergeCell ref="A44:I44"/>
    <mergeCell ref="B2:I2"/>
    <mergeCell ref="B4:I4"/>
    <mergeCell ref="C29:E29"/>
    <mergeCell ref="A42:I42"/>
    <mergeCell ref="A43:I43"/>
  </mergeCells>
  <printOptions horizontalCentered="1"/>
  <pageMargins left="0.7086614173228347" right="0.7086614173228347" top="0.7480314960629921" bottom="0.7480314960629921" header="0.31496062992125984" footer="0.31496062992125984"/>
  <pageSetup fitToHeight="99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zoomScale="130" zoomScaleNormal="130" workbookViewId="0" topLeftCell="A40">
      <selection activeCell="F48" sqref="F48"/>
    </sheetView>
  </sheetViews>
  <sheetFormatPr defaultColWidth="11.57421875" defaultRowHeight="15"/>
  <cols>
    <col min="1" max="1" width="6.140625" style="244" customWidth="1"/>
    <col min="2" max="2" width="15.140625" style="244" customWidth="1"/>
    <col min="3" max="3" width="35.00390625" style="244" customWidth="1"/>
    <col min="4" max="4" width="6.7109375" style="244" customWidth="1"/>
    <col min="5" max="5" width="8.421875" style="244" customWidth="1"/>
    <col min="6" max="6" width="8.7109375" style="244" customWidth="1"/>
    <col min="7" max="7" width="8.28125" style="244" customWidth="1"/>
    <col min="8" max="8" width="8.140625" style="244" customWidth="1"/>
    <col min="9" max="9" width="9.140625" style="244" customWidth="1"/>
    <col min="10" max="256" width="8.7109375" style="244" customWidth="1"/>
    <col min="257" max="257" width="6.140625" style="244" customWidth="1"/>
    <col min="258" max="258" width="15.140625" style="244" customWidth="1"/>
    <col min="259" max="259" width="35.00390625" style="244" customWidth="1"/>
    <col min="260" max="260" width="6.7109375" style="244" customWidth="1"/>
    <col min="261" max="261" width="8.421875" style="244" customWidth="1"/>
    <col min="262" max="262" width="8.7109375" style="244" customWidth="1"/>
    <col min="263" max="263" width="8.28125" style="244" customWidth="1"/>
    <col min="264" max="264" width="8.140625" style="244" customWidth="1"/>
    <col min="265" max="265" width="9.140625" style="244" customWidth="1"/>
    <col min="266" max="512" width="8.7109375" style="244" customWidth="1"/>
    <col min="513" max="513" width="6.140625" style="244" customWidth="1"/>
    <col min="514" max="514" width="15.140625" style="244" customWidth="1"/>
    <col min="515" max="515" width="35.00390625" style="244" customWidth="1"/>
    <col min="516" max="516" width="6.7109375" style="244" customWidth="1"/>
    <col min="517" max="517" width="8.421875" style="244" customWidth="1"/>
    <col min="518" max="518" width="8.7109375" style="244" customWidth="1"/>
    <col min="519" max="519" width="8.28125" style="244" customWidth="1"/>
    <col min="520" max="520" width="8.140625" style="244" customWidth="1"/>
    <col min="521" max="521" width="9.140625" style="244" customWidth="1"/>
    <col min="522" max="768" width="8.7109375" style="244" customWidth="1"/>
    <col min="769" max="769" width="6.140625" style="244" customWidth="1"/>
    <col min="770" max="770" width="15.140625" style="244" customWidth="1"/>
    <col min="771" max="771" width="35.00390625" style="244" customWidth="1"/>
    <col min="772" max="772" width="6.7109375" style="244" customWidth="1"/>
    <col min="773" max="773" width="8.421875" style="244" customWidth="1"/>
    <col min="774" max="774" width="8.7109375" style="244" customWidth="1"/>
    <col min="775" max="775" width="8.28125" style="244" customWidth="1"/>
    <col min="776" max="776" width="8.140625" style="244" customWidth="1"/>
    <col min="777" max="777" width="9.140625" style="244" customWidth="1"/>
    <col min="778" max="1024" width="8.7109375" style="244" customWidth="1"/>
    <col min="1025" max="1025" width="6.140625" style="244" customWidth="1"/>
    <col min="1026" max="1026" width="15.140625" style="244" customWidth="1"/>
    <col min="1027" max="1027" width="35.00390625" style="244" customWidth="1"/>
    <col min="1028" max="1028" width="6.7109375" style="244" customWidth="1"/>
    <col min="1029" max="1029" width="8.421875" style="244" customWidth="1"/>
    <col min="1030" max="1030" width="8.7109375" style="244" customWidth="1"/>
    <col min="1031" max="1031" width="8.28125" style="244" customWidth="1"/>
    <col min="1032" max="1032" width="8.140625" style="244" customWidth="1"/>
    <col min="1033" max="1033" width="9.140625" style="244" customWidth="1"/>
    <col min="1034" max="1280" width="8.7109375" style="244" customWidth="1"/>
    <col min="1281" max="1281" width="6.140625" style="244" customWidth="1"/>
    <col min="1282" max="1282" width="15.140625" style="244" customWidth="1"/>
    <col min="1283" max="1283" width="35.00390625" style="244" customWidth="1"/>
    <col min="1284" max="1284" width="6.7109375" style="244" customWidth="1"/>
    <col min="1285" max="1285" width="8.421875" style="244" customWidth="1"/>
    <col min="1286" max="1286" width="8.7109375" style="244" customWidth="1"/>
    <col min="1287" max="1287" width="8.28125" style="244" customWidth="1"/>
    <col min="1288" max="1288" width="8.140625" style="244" customWidth="1"/>
    <col min="1289" max="1289" width="9.140625" style="244" customWidth="1"/>
    <col min="1290" max="1536" width="8.7109375" style="244" customWidth="1"/>
    <col min="1537" max="1537" width="6.140625" style="244" customWidth="1"/>
    <col min="1538" max="1538" width="15.140625" style="244" customWidth="1"/>
    <col min="1539" max="1539" width="35.00390625" style="244" customWidth="1"/>
    <col min="1540" max="1540" width="6.7109375" style="244" customWidth="1"/>
    <col min="1541" max="1541" width="8.421875" style="244" customWidth="1"/>
    <col min="1542" max="1542" width="8.7109375" style="244" customWidth="1"/>
    <col min="1543" max="1543" width="8.28125" style="244" customWidth="1"/>
    <col min="1544" max="1544" width="8.140625" style="244" customWidth="1"/>
    <col min="1545" max="1545" width="9.140625" style="244" customWidth="1"/>
    <col min="1546" max="1792" width="8.7109375" style="244" customWidth="1"/>
    <col min="1793" max="1793" width="6.140625" style="244" customWidth="1"/>
    <col min="1794" max="1794" width="15.140625" style="244" customWidth="1"/>
    <col min="1795" max="1795" width="35.00390625" style="244" customWidth="1"/>
    <col min="1796" max="1796" width="6.7109375" style="244" customWidth="1"/>
    <col min="1797" max="1797" width="8.421875" style="244" customWidth="1"/>
    <col min="1798" max="1798" width="8.7109375" style="244" customWidth="1"/>
    <col min="1799" max="1799" width="8.28125" style="244" customWidth="1"/>
    <col min="1800" max="1800" width="8.140625" style="244" customWidth="1"/>
    <col min="1801" max="1801" width="9.140625" style="244" customWidth="1"/>
    <col min="1802" max="2048" width="8.7109375" style="244" customWidth="1"/>
    <col min="2049" max="2049" width="6.140625" style="244" customWidth="1"/>
    <col min="2050" max="2050" width="15.140625" style="244" customWidth="1"/>
    <col min="2051" max="2051" width="35.00390625" style="244" customWidth="1"/>
    <col min="2052" max="2052" width="6.7109375" style="244" customWidth="1"/>
    <col min="2053" max="2053" width="8.421875" style="244" customWidth="1"/>
    <col min="2054" max="2054" width="8.7109375" style="244" customWidth="1"/>
    <col min="2055" max="2055" width="8.28125" style="244" customWidth="1"/>
    <col min="2056" max="2056" width="8.140625" style="244" customWidth="1"/>
    <col min="2057" max="2057" width="9.140625" style="244" customWidth="1"/>
    <col min="2058" max="2304" width="8.7109375" style="244" customWidth="1"/>
    <col min="2305" max="2305" width="6.140625" style="244" customWidth="1"/>
    <col min="2306" max="2306" width="15.140625" style="244" customWidth="1"/>
    <col min="2307" max="2307" width="35.00390625" style="244" customWidth="1"/>
    <col min="2308" max="2308" width="6.7109375" style="244" customWidth="1"/>
    <col min="2309" max="2309" width="8.421875" style="244" customWidth="1"/>
    <col min="2310" max="2310" width="8.7109375" style="244" customWidth="1"/>
    <col min="2311" max="2311" width="8.28125" style="244" customWidth="1"/>
    <col min="2312" max="2312" width="8.140625" style="244" customWidth="1"/>
    <col min="2313" max="2313" width="9.140625" style="244" customWidth="1"/>
    <col min="2314" max="2560" width="8.7109375" style="244" customWidth="1"/>
    <col min="2561" max="2561" width="6.140625" style="244" customWidth="1"/>
    <col min="2562" max="2562" width="15.140625" style="244" customWidth="1"/>
    <col min="2563" max="2563" width="35.00390625" style="244" customWidth="1"/>
    <col min="2564" max="2564" width="6.7109375" style="244" customWidth="1"/>
    <col min="2565" max="2565" width="8.421875" style="244" customWidth="1"/>
    <col min="2566" max="2566" width="8.7109375" style="244" customWidth="1"/>
    <col min="2567" max="2567" width="8.28125" style="244" customWidth="1"/>
    <col min="2568" max="2568" width="8.140625" style="244" customWidth="1"/>
    <col min="2569" max="2569" width="9.140625" style="244" customWidth="1"/>
    <col min="2570" max="2816" width="8.7109375" style="244" customWidth="1"/>
    <col min="2817" max="2817" width="6.140625" style="244" customWidth="1"/>
    <col min="2818" max="2818" width="15.140625" style="244" customWidth="1"/>
    <col min="2819" max="2819" width="35.00390625" style="244" customWidth="1"/>
    <col min="2820" max="2820" width="6.7109375" style="244" customWidth="1"/>
    <col min="2821" max="2821" width="8.421875" style="244" customWidth="1"/>
    <col min="2822" max="2822" width="8.7109375" style="244" customWidth="1"/>
    <col min="2823" max="2823" width="8.28125" style="244" customWidth="1"/>
    <col min="2824" max="2824" width="8.140625" style="244" customWidth="1"/>
    <col min="2825" max="2825" width="9.140625" style="244" customWidth="1"/>
    <col min="2826" max="3072" width="8.7109375" style="244" customWidth="1"/>
    <col min="3073" max="3073" width="6.140625" style="244" customWidth="1"/>
    <col min="3074" max="3074" width="15.140625" style="244" customWidth="1"/>
    <col min="3075" max="3075" width="35.00390625" style="244" customWidth="1"/>
    <col min="3076" max="3076" width="6.7109375" style="244" customWidth="1"/>
    <col min="3077" max="3077" width="8.421875" style="244" customWidth="1"/>
    <col min="3078" max="3078" width="8.7109375" style="244" customWidth="1"/>
    <col min="3079" max="3079" width="8.28125" style="244" customWidth="1"/>
    <col min="3080" max="3080" width="8.140625" style="244" customWidth="1"/>
    <col min="3081" max="3081" width="9.140625" style="244" customWidth="1"/>
    <col min="3082" max="3328" width="8.7109375" style="244" customWidth="1"/>
    <col min="3329" max="3329" width="6.140625" style="244" customWidth="1"/>
    <col min="3330" max="3330" width="15.140625" style="244" customWidth="1"/>
    <col min="3331" max="3331" width="35.00390625" style="244" customWidth="1"/>
    <col min="3332" max="3332" width="6.7109375" style="244" customWidth="1"/>
    <col min="3333" max="3333" width="8.421875" style="244" customWidth="1"/>
    <col min="3334" max="3334" width="8.7109375" style="244" customWidth="1"/>
    <col min="3335" max="3335" width="8.28125" style="244" customWidth="1"/>
    <col min="3336" max="3336" width="8.140625" style="244" customWidth="1"/>
    <col min="3337" max="3337" width="9.140625" style="244" customWidth="1"/>
    <col min="3338" max="3584" width="8.7109375" style="244" customWidth="1"/>
    <col min="3585" max="3585" width="6.140625" style="244" customWidth="1"/>
    <col min="3586" max="3586" width="15.140625" style="244" customWidth="1"/>
    <col min="3587" max="3587" width="35.00390625" style="244" customWidth="1"/>
    <col min="3588" max="3588" width="6.7109375" style="244" customWidth="1"/>
    <col min="3589" max="3589" width="8.421875" style="244" customWidth="1"/>
    <col min="3590" max="3590" width="8.7109375" style="244" customWidth="1"/>
    <col min="3591" max="3591" width="8.28125" style="244" customWidth="1"/>
    <col min="3592" max="3592" width="8.140625" style="244" customWidth="1"/>
    <col min="3593" max="3593" width="9.140625" style="244" customWidth="1"/>
    <col min="3594" max="3840" width="8.7109375" style="244" customWidth="1"/>
    <col min="3841" max="3841" width="6.140625" style="244" customWidth="1"/>
    <col min="3842" max="3842" width="15.140625" style="244" customWidth="1"/>
    <col min="3843" max="3843" width="35.00390625" style="244" customWidth="1"/>
    <col min="3844" max="3844" width="6.7109375" style="244" customWidth="1"/>
    <col min="3845" max="3845" width="8.421875" style="244" customWidth="1"/>
    <col min="3846" max="3846" width="8.7109375" style="244" customWidth="1"/>
    <col min="3847" max="3847" width="8.28125" style="244" customWidth="1"/>
    <col min="3848" max="3848" width="8.140625" style="244" customWidth="1"/>
    <col min="3849" max="3849" width="9.140625" style="244" customWidth="1"/>
    <col min="3850" max="4096" width="8.7109375" style="244" customWidth="1"/>
    <col min="4097" max="4097" width="6.140625" style="244" customWidth="1"/>
    <col min="4098" max="4098" width="15.140625" style="244" customWidth="1"/>
    <col min="4099" max="4099" width="35.00390625" style="244" customWidth="1"/>
    <col min="4100" max="4100" width="6.7109375" style="244" customWidth="1"/>
    <col min="4101" max="4101" width="8.421875" style="244" customWidth="1"/>
    <col min="4102" max="4102" width="8.7109375" style="244" customWidth="1"/>
    <col min="4103" max="4103" width="8.28125" style="244" customWidth="1"/>
    <col min="4104" max="4104" width="8.140625" style="244" customWidth="1"/>
    <col min="4105" max="4105" width="9.140625" style="244" customWidth="1"/>
    <col min="4106" max="4352" width="8.7109375" style="244" customWidth="1"/>
    <col min="4353" max="4353" width="6.140625" style="244" customWidth="1"/>
    <col min="4354" max="4354" width="15.140625" style="244" customWidth="1"/>
    <col min="4355" max="4355" width="35.00390625" style="244" customWidth="1"/>
    <col min="4356" max="4356" width="6.7109375" style="244" customWidth="1"/>
    <col min="4357" max="4357" width="8.421875" style="244" customWidth="1"/>
    <col min="4358" max="4358" width="8.7109375" style="244" customWidth="1"/>
    <col min="4359" max="4359" width="8.28125" style="244" customWidth="1"/>
    <col min="4360" max="4360" width="8.140625" style="244" customWidth="1"/>
    <col min="4361" max="4361" width="9.140625" style="244" customWidth="1"/>
    <col min="4362" max="4608" width="8.7109375" style="244" customWidth="1"/>
    <col min="4609" max="4609" width="6.140625" style="244" customWidth="1"/>
    <col min="4610" max="4610" width="15.140625" style="244" customWidth="1"/>
    <col min="4611" max="4611" width="35.00390625" style="244" customWidth="1"/>
    <col min="4612" max="4612" width="6.7109375" style="244" customWidth="1"/>
    <col min="4613" max="4613" width="8.421875" style="244" customWidth="1"/>
    <col min="4614" max="4614" width="8.7109375" style="244" customWidth="1"/>
    <col min="4615" max="4615" width="8.28125" style="244" customWidth="1"/>
    <col min="4616" max="4616" width="8.140625" style="244" customWidth="1"/>
    <col min="4617" max="4617" width="9.140625" style="244" customWidth="1"/>
    <col min="4618" max="4864" width="8.7109375" style="244" customWidth="1"/>
    <col min="4865" max="4865" width="6.140625" style="244" customWidth="1"/>
    <col min="4866" max="4866" width="15.140625" style="244" customWidth="1"/>
    <col min="4867" max="4867" width="35.00390625" style="244" customWidth="1"/>
    <col min="4868" max="4868" width="6.7109375" style="244" customWidth="1"/>
    <col min="4869" max="4869" width="8.421875" style="244" customWidth="1"/>
    <col min="4870" max="4870" width="8.7109375" style="244" customWidth="1"/>
    <col min="4871" max="4871" width="8.28125" style="244" customWidth="1"/>
    <col min="4872" max="4872" width="8.140625" style="244" customWidth="1"/>
    <col min="4873" max="4873" width="9.140625" style="244" customWidth="1"/>
    <col min="4874" max="5120" width="8.7109375" style="244" customWidth="1"/>
    <col min="5121" max="5121" width="6.140625" style="244" customWidth="1"/>
    <col min="5122" max="5122" width="15.140625" style="244" customWidth="1"/>
    <col min="5123" max="5123" width="35.00390625" style="244" customWidth="1"/>
    <col min="5124" max="5124" width="6.7109375" style="244" customWidth="1"/>
    <col min="5125" max="5125" width="8.421875" style="244" customWidth="1"/>
    <col min="5126" max="5126" width="8.7109375" style="244" customWidth="1"/>
    <col min="5127" max="5127" width="8.28125" style="244" customWidth="1"/>
    <col min="5128" max="5128" width="8.140625" style="244" customWidth="1"/>
    <col min="5129" max="5129" width="9.140625" style="244" customWidth="1"/>
    <col min="5130" max="5376" width="8.7109375" style="244" customWidth="1"/>
    <col min="5377" max="5377" width="6.140625" style="244" customWidth="1"/>
    <col min="5378" max="5378" width="15.140625" style="244" customWidth="1"/>
    <col min="5379" max="5379" width="35.00390625" style="244" customWidth="1"/>
    <col min="5380" max="5380" width="6.7109375" style="244" customWidth="1"/>
    <col min="5381" max="5381" width="8.421875" style="244" customWidth="1"/>
    <col min="5382" max="5382" width="8.7109375" style="244" customWidth="1"/>
    <col min="5383" max="5383" width="8.28125" style="244" customWidth="1"/>
    <col min="5384" max="5384" width="8.140625" style="244" customWidth="1"/>
    <col min="5385" max="5385" width="9.140625" style="244" customWidth="1"/>
    <col min="5386" max="5632" width="8.7109375" style="244" customWidth="1"/>
    <col min="5633" max="5633" width="6.140625" style="244" customWidth="1"/>
    <col min="5634" max="5634" width="15.140625" style="244" customWidth="1"/>
    <col min="5635" max="5635" width="35.00390625" style="244" customWidth="1"/>
    <col min="5636" max="5636" width="6.7109375" style="244" customWidth="1"/>
    <col min="5637" max="5637" width="8.421875" style="244" customWidth="1"/>
    <col min="5638" max="5638" width="8.7109375" style="244" customWidth="1"/>
    <col min="5639" max="5639" width="8.28125" style="244" customWidth="1"/>
    <col min="5640" max="5640" width="8.140625" style="244" customWidth="1"/>
    <col min="5641" max="5641" width="9.140625" style="244" customWidth="1"/>
    <col min="5642" max="5888" width="8.7109375" style="244" customWidth="1"/>
    <col min="5889" max="5889" width="6.140625" style="244" customWidth="1"/>
    <col min="5890" max="5890" width="15.140625" style="244" customWidth="1"/>
    <col min="5891" max="5891" width="35.00390625" style="244" customWidth="1"/>
    <col min="5892" max="5892" width="6.7109375" style="244" customWidth="1"/>
    <col min="5893" max="5893" width="8.421875" style="244" customWidth="1"/>
    <col min="5894" max="5894" width="8.7109375" style="244" customWidth="1"/>
    <col min="5895" max="5895" width="8.28125" style="244" customWidth="1"/>
    <col min="5896" max="5896" width="8.140625" style="244" customWidth="1"/>
    <col min="5897" max="5897" width="9.140625" style="244" customWidth="1"/>
    <col min="5898" max="6144" width="8.7109375" style="244" customWidth="1"/>
    <col min="6145" max="6145" width="6.140625" style="244" customWidth="1"/>
    <col min="6146" max="6146" width="15.140625" style="244" customWidth="1"/>
    <col min="6147" max="6147" width="35.00390625" style="244" customWidth="1"/>
    <col min="6148" max="6148" width="6.7109375" style="244" customWidth="1"/>
    <col min="6149" max="6149" width="8.421875" style="244" customWidth="1"/>
    <col min="6150" max="6150" width="8.7109375" style="244" customWidth="1"/>
    <col min="6151" max="6151" width="8.28125" style="244" customWidth="1"/>
    <col min="6152" max="6152" width="8.140625" style="244" customWidth="1"/>
    <col min="6153" max="6153" width="9.140625" style="244" customWidth="1"/>
    <col min="6154" max="6400" width="8.7109375" style="244" customWidth="1"/>
    <col min="6401" max="6401" width="6.140625" style="244" customWidth="1"/>
    <col min="6402" max="6402" width="15.140625" style="244" customWidth="1"/>
    <col min="6403" max="6403" width="35.00390625" style="244" customWidth="1"/>
    <col min="6404" max="6404" width="6.7109375" style="244" customWidth="1"/>
    <col min="6405" max="6405" width="8.421875" style="244" customWidth="1"/>
    <col min="6406" max="6406" width="8.7109375" style="244" customWidth="1"/>
    <col min="6407" max="6407" width="8.28125" style="244" customWidth="1"/>
    <col min="6408" max="6408" width="8.140625" style="244" customWidth="1"/>
    <col min="6409" max="6409" width="9.140625" style="244" customWidth="1"/>
    <col min="6410" max="6656" width="8.7109375" style="244" customWidth="1"/>
    <col min="6657" max="6657" width="6.140625" style="244" customWidth="1"/>
    <col min="6658" max="6658" width="15.140625" style="244" customWidth="1"/>
    <col min="6659" max="6659" width="35.00390625" style="244" customWidth="1"/>
    <col min="6660" max="6660" width="6.7109375" style="244" customWidth="1"/>
    <col min="6661" max="6661" width="8.421875" style="244" customWidth="1"/>
    <col min="6662" max="6662" width="8.7109375" style="244" customWidth="1"/>
    <col min="6663" max="6663" width="8.28125" style="244" customWidth="1"/>
    <col min="6664" max="6664" width="8.140625" style="244" customWidth="1"/>
    <col min="6665" max="6665" width="9.140625" style="244" customWidth="1"/>
    <col min="6666" max="6912" width="8.7109375" style="244" customWidth="1"/>
    <col min="6913" max="6913" width="6.140625" style="244" customWidth="1"/>
    <col min="6914" max="6914" width="15.140625" style="244" customWidth="1"/>
    <col min="6915" max="6915" width="35.00390625" style="244" customWidth="1"/>
    <col min="6916" max="6916" width="6.7109375" style="244" customWidth="1"/>
    <col min="6917" max="6917" width="8.421875" style="244" customWidth="1"/>
    <col min="6918" max="6918" width="8.7109375" style="244" customWidth="1"/>
    <col min="6919" max="6919" width="8.28125" style="244" customWidth="1"/>
    <col min="6920" max="6920" width="8.140625" style="244" customWidth="1"/>
    <col min="6921" max="6921" width="9.140625" style="244" customWidth="1"/>
    <col min="6922" max="7168" width="8.7109375" style="244" customWidth="1"/>
    <col min="7169" max="7169" width="6.140625" style="244" customWidth="1"/>
    <col min="7170" max="7170" width="15.140625" style="244" customWidth="1"/>
    <col min="7171" max="7171" width="35.00390625" style="244" customWidth="1"/>
    <col min="7172" max="7172" width="6.7109375" style="244" customWidth="1"/>
    <col min="7173" max="7173" width="8.421875" style="244" customWidth="1"/>
    <col min="7174" max="7174" width="8.7109375" style="244" customWidth="1"/>
    <col min="7175" max="7175" width="8.28125" style="244" customWidth="1"/>
    <col min="7176" max="7176" width="8.140625" style="244" customWidth="1"/>
    <col min="7177" max="7177" width="9.140625" style="244" customWidth="1"/>
    <col min="7178" max="7424" width="8.7109375" style="244" customWidth="1"/>
    <col min="7425" max="7425" width="6.140625" style="244" customWidth="1"/>
    <col min="7426" max="7426" width="15.140625" style="244" customWidth="1"/>
    <col min="7427" max="7427" width="35.00390625" style="244" customWidth="1"/>
    <col min="7428" max="7428" width="6.7109375" style="244" customWidth="1"/>
    <col min="7429" max="7429" width="8.421875" style="244" customWidth="1"/>
    <col min="7430" max="7430" width="8.7109375" style="244" customWidth="1"/>
    <col min="7431" max="7431" width="8.28125" style="244" customWidth="1"/>
    <col min="7432" max="7432" width="8.140625" style="244" customWidth="1"/>
    <col min="7433" max="7433" width="9.140625" style="244" customWidth="1"/>
    <col min="7434" max="7680" width="8.7109375" style="244" customWidth="1"/>
    <col min="7681" max="7681" width="6.140625" style="244" customWidth="1"/>
    <col min="7682" max="7682" width="15.140625" style="244" customWidth="1"/>
    <col min="7683" max="7683" width="35.00390625" style="244" customWidth="1"/>
    <col min="7684" max="7684" width="6.7109375" style="244" customWidth="1"/>
    <col min="7685" max="7685" width="8.421875" style="244" customWidth="1"/>
    <col min="7686" max="7686" width="8.7109375" style="244" customWidth="1"/>
    <col min="7687" max="7687" width="8.28125" style="244" customWidth="1"/>
    <col min="7688" max="7688" width="8.140625" style="244" customWidth="1"/>
    <col min="7689" max="7689" width="9.140625" style="244" customWidth="1"/>
    <col min="7690" max="7936" width="8.7109375" style="244" customWidth="1"/>
    <col min="7937" max="7937" width="6.140625" style="244" customWidth="1"/>
    <col min="7938" max="7938" width="15.140625" style="244" customWidth="1"/>
    <col min="7939" max="7939" width="35.00390625" style="244" customWidth="1"/>
    <col min="7940" max="7940" width="6.7109375" style="244" customWidth="1"/>
    <col min="7941" max="7941" width="8.421875" style="244" customWidth="1"/>
    <col min="7942" max="7942" width="8.7109375" style="244" customWidth="1"/>
    <col min="7943" max="7943" width="8.28125" style="244" customWidth="1"/>
    <col min="7944" max="7944" width="8.140625" style="244" customWidth="1"/>
    <col min="7945" max="7945" width="9.140625" style="244" customWidth="1"/>
    <col min="7946" max="8192" width="8.7109375" style="244" customWidth="1"/>
    <col min="8193" max="8193" width="6.140625" style="244" customWidth="1"/>
    <col min="8194" max="8194" width="15.140625" style="244" customWidth="1"/>
    <col min="8195" max="8195" width="35.00390625" style="244" customWidth="1"/>
    <col min="8196" max="8196" width="6.7109375" style="244" customWidth="1"/>
    <col min="8197" max="8197" width="8.421875" style="244" customWidth="1"/>
    <col min="8198" max="8198" width="8.7109375" style="244" customWidth="1"/>
    <col min="8199" max="8199" width="8.28125" style="244" customWidth="1"/>
    <col min="8200" max="8200" width="8.140625" style="244" customWidth="1"/>
    <col min="8201" max="8201" width="9.140625" style="244" customWidth="1"/>
    <col min="8202" max="8448" width="8.7109375" style="244" customWidth="1"/>
    <col min="8449" max="8449" width="6.140625" style="244" customWidth="1"/>
    <col min="8450" max="8450" width="15.140625" style="244" customWidth="1"/>
    <col min="8451" max="8451" width="35.00390625" style="244" customWidth="1"/>
    <col min="8452" max="8452" width="6.7109375" style="244" customWidth="1"/>
    <col min="8453" max="8453" width="8.421875" style="244" customWidth="1"/>
    <col min="8454" max="8454" width="8.7109375" style="244" customWidth="1"/>
    <col min="8455" max="8455" width="8.28125" style="244" customWidth="1"/>
    <col min="8456" max="8456" width="8.140625" style="244" customWidth="1"/>
    <col min="8457" max="8457" width="9.140625" style="244" customWidth="1"/>
    <col min="8458" max="8704" width="8.7109375" style="244" customWidth="1"/>
    <col min="8705" max="8705" width="6.140625" style="244" customWidth="1"/>
    <col min="8706" max="8706" width="15.140625" style="244" customWidth="1"/>
    <col min="8707" max="8707" width="35.00390625" style="244" customWidth="1"/>
    <col min="8708" max="8708" width="6.7109375" style="244" customWidth="1"/>
    <col min="8709" max="8709" width="8.421875" style="244" customWidth="1"/>
    <col min="8710" max="8710" width="8.7109375" style="244" customWidth="1"/>
    <col min="8711" max="8711" width="8.28125" style="244" customWidth="1"/>
    <col min="8712" max="8712" width="8.140625" style="244" customWidth="1"/>
    <col min="8713" max="8713" width="9.140625" style="244" customWidth="1"/>
    <col min="8714" max="8960" width="8.7109375" style="244" customWidth="1"/>
    <col min="8961" max="8961" width="6.140625" style="244" customWidth="1"/>
    <col min="8962" max="8962" width="15.140625" style="244" customWidth="1"/>
    <col min="8963" max="8963" width="35.00390625" style="244" customWidth="1"/>
    <col min="8964" max="8964" width="6.7109375" style="244" customWidth="1"/>
    <col min="8965" max="8965" width="8.421875" style="244" customWidth="1"/>
    <col min="8966" max="8966" width="8.7109375" style="244" customWidth="1"/>
    <col min="8967" max="8967" width="8.28125" style="244" customWidth="1"/>
    <col min="8968" max="8968" width="8.140625" style="244" customWidth="1"/>
    <col min="8969" max="8969" width="9.140625" style="244" customWidth="1"/>
    <col min="8970" max="9216" width="8.7109375" style="244" customWidth="1"/>
    <col min="9217" max="9217" width="6.140625" style="244" customWidth="1"/>
    <col min="9218" max="9218" width="15.140625" style="244" customWidth="1"/>
    <col min="9219" max="9219" width="35.00390625" style="244" customWidth="1"/>
    <col min="9220" max="9220" width="6.7109375" style="244" customWidth="1"/>
    <col min="9221" max="9221" width="8.421875" style="244" customWidth="1"/>
    <col min="9222" max="9222" width="8.7109375" style="244" customWidth="1"/>
    <col min="9223" max="9223" width="8.28125" style="244" customWidth="1"/>
    <col min="9224" max="9224" width="8.140625" style="244" customWidth="1"/>
    <col min="9225" max="9225" width="9.140625" style="244" customWidth="1"/>
    <col min="9226" max="9472" width="8.7109375" style="244" customWidth="1"/>
    <col min="9473" max="9473" width="6.140625" style="244" customWidth="1"/>
    <col min="9474" max="9474" width="15.140625" style="244" customWidth="1"/>
    <col min="9475" max="9475" width="35.00390625" style="244" customWidth="1"/>
    <col min="9476" max="9476" width="6.7109375" style="244" customWidth="1"/>
    <col min="9477" max="9477" width="8.421875" style="244" customWidth="1"/>
    <col min="9478" max="9478" width="8.7109375" style="244" customWidth="1"/>
    <col min="9479" max="9479" width="8.28125" style="244" customWidth="1"/>
    <col min="9480" max="9480" width="8.140625" style="244" customWidth="1"/>
    <col min="9481" max="9481" width="9.140625" style="244" customWidth="1"/>
    <col min="9482" max="9728" width="8.7109375" style="244" customWidth="1"/>
    <col min="9729" max="9729" width="6.140625" style="244" customWidth="1"/>
    <col min="9730" max="9730" width="15.140625" style="244" customWidth="1"/>
    <col min="9731" max="9731" width="35.00390625" style="244" customWidth="1"/>
    <col min="9732" max="9732" width="6.7109375" style="244" customWidth="1"/>
    <col min="9733" max="9733" width="8.421875" style="244" customWidth="1"/>
    <col min="9734" max="9734" width="8.7109375" style="244" customWidth="1"/>
    <col min="9735" max="9735" width="8.28125" style="244" customWidth="1"/>
    <col min="9736" max="9736" width="8.140625" style="244" customWidth="1"/>
    <col min="9737" max="9737" width="9.140625" style="244" customWidth="1"/>
    <col min="9738" max="9984" width="8.7109375" style="244" customWidth="1"/>
    <col min="9985" max="9985" width="6.140625" style="244" customWidth="1"/>
    <col min="9986" max="9986" width="15.140625" style="244" customWidth="1"/>
    <col min="9987" max="9987" width="35.00390625" style="244" customWidth="1"/>
    <col min="9988" max="9988" width="6.7109375" style="244" customWidth="1"/>
    <col min="9989" max="9989" width="8.421875" style="244" customWidth="1"/>
    <col min="9990" max="9990" width="8.7109375" style="244" customWidth="1"/>
    <col min="9991" max="9991" width="8.28125" style="244" customWidth="1"/>
    <col min="9992" max="9992" width="8.140625" style="244" customWidth="1"/>
    <col min="9993" max="9993" width="9.140625" style="244" customWidth="1"/>
    <col min="9994" max="10240" width="8.7109375" style="244" customWidth="1"/>
    <col min="10241" max="10241" width="6.140625" style="244" customWidth="1"/>
    <col min="10242" max="10242" width="15.140625" style="244" customWidth="1"/>
    <col min="10243" max="10243" width="35.00390625" style="244" customWidth="1"/>
    <col min="10244" max="10244" width="6.7109375" style="244" customWidth="1"/>
    <col min="10245" max="10245" width="8.421875" style="244" customWidth="1"/>
    <col min="10246" max="10246" width="8.7109375" style="244" customWidth="1"/>
    <col min="10247" max="10247" width="8.28125" style="244" customWidth="1"/>
    <col min="10248" max="10248" width="8.140625" style="244" customWidth="1"/>
    <col min="10249" max="10249" width="9.140625" style="244" customWidth="1"/>
    <col min="10250" max="10496" width="8.7109375" style="244" customWidth="1"/>
    <col min="10497" max="10497" width="6.140625" style="244" customWidth="1"/>
    <col min="10498" max="10498" width="15.140625" style="244" customWidth="1"/>
    <col min="10499" max="10499" width="35.00390625" style="244" customWidth="1"/>
    <col min="10500" max="10500" width="6.7109375" style="244" customWidth="1"/>
    <col min="10501" max="10501" width="8.421875" style="244" customWidth="1"/>
    <col min="10502" max="10502" width="8.7109375" style="244" customWidth="1"/>
    <col min="10503" max="10503" width="8.28125" style="244" customWidth="1"/>
    <col min="10504" max="10504" width="8.140625" style="244" customWidth="1"/>
    <col min="10505" max="10505" width="9.140625" style="244" customWidth="1"/>
    <col min="10506" max="10752" width="8.7109375" style="244" customWidth="1"/>
    <col min="10753" max="10753" width="6.140625" style="244" customWidth="1"/>
    <col min="10754" max="10754" width="15.140625" style="244" customWidth="1"/>
    <col min="10755" max="10755" width="35.00390625" style="244" customWidth="1"/>
    <col min="10756" max="10756" width="6.7109375" style="244" customWidth="1"/>
    <col min="10757" max="10757" width="8.421875" style="244" customWidth="1"/>
    <col min="10758" max="10758" width="8.7109375" style="244" customWidth="1"/>
    <col min="10759" max="10759" width="8.28125" style="244" customWidth="1"/>
    <col min="10760" max="10760" width="8.140625" style="244" customWidth="1"/>
    <col min="10761" max="10761" width="9.140625" style="244" customWidth="1"/>
    <col min="10762" max="11008" width="8.7109375" style="244" customWidth="1"/>
    <col min="11009" max="11009" width="6.140625" style="244" customWidth="1"/>
    <col min="11010" max="11010" width="15.140625" style="244" customWidth="1"/>
    <col min="11011" max="11011" width="35.00390625" style="244" customWidth="1"/>
    <col min="11012" max="11012" width="6.7109375" style="244" customWidth="1"/>
    <col min="11013" max="11013" width="8.421875" style="244" customWidth="1"/>
    <col min="11014" max="11014" width="8.7109375" style="244" customWidth="1"/>
    <col min="11015" max="11015" width="8.28125" style="244" customWidth="1"/>
    <col min="11016" max="11016" width="8.140625" style="244" customWidth="1"/>
    <col min="11017" max="11017" width="9.140625" style="244" customWidth="1"/>
    <col min="11018" max="11264" width="8.7109375" style="244" customWidth="1"/>
    <col min="11265" max="11265" width="6.140625" style="244" customWidth="1"/>
    <col min="11266" max="11266" width="15.140625" style="244" customWidth="1"/>
    <col min="11267" max="11267" width="35.00390625" style="244" customWidth="1"/>
    <col min="11268" max="11268" width="6.7109375" style="244" customWidth="1"/>
    <col min="11269" max="11269" width="8.421875" style="244" customWidth="1"/>
    <col min="11270" max="11270" width="8.7109375" style="244" customWidth="1"/>
    <col min="11271" max="11271" width="8.28125" style="244" customWidth="1"/>
    <col min="11272" max="11272" width="8.140625" style="244" customWidth="1"/>
    <col min="11273" max="11273" width="9.140625" style="244" customWidth="1"/>
    <col min="11274" max="11520" width="8.7109375" style="244" customWidth="1"/>
    <col min="11521" max="11521" width="6.140625" style="244" customWidth="1"/>
    <col min="11522" max="11522" width="15.140625" style="244" customWidth="1"/>
    <col min="11523" max="11523" width="35.00390625" style="244" customWidth="1"/>
    <col min="11524" max="11524" width="6.7109375" style="244" customWidth="1"/>
    <col min="11525" max="11525" width="8.421875" style="244" customWidth="1"/>
    <col min="11526" max="11526" width="8.7109375" style="244" customWidth="1"/>
    <col min="11527" max="11527" width="8.28125" style="244" customWidth="1"/>
    <col min="11528" max="11528" width="8.140625" style="244" customWidth="1"/>
    <col min="11529" max="11529" width="9.140625" style="244" customWidth="1"/>
    <col min="11530" max="11776" width="8.7109375" style="244" customWidth="1"/>
    <col min="11777" max="11777" width="6.140625" style="244" customWidth="1"/>
    <col min="11778" max="11778" width="15.140625" style="244" customWidth="1"/>
    <col min="11779" max="11779" width="35.00390625" style="244" customWidth="1"/>
    <col min="11780" max="11780" width="6.7109375" style="244" customWidth="1"/>
    <col min="11781" max="11781" width="8.421875" style="244" customWidth="1"/>
    <col min="11782" max="11782" width="8.7109375" style="244" customWidth="1"/>
    <col min="11783" max="11783" width="8.28125" style="244" customWidth="1"/>
    <col min="11784" max="11784" width="8.140625" style="244" customWidth="1"/>
    <col min="11785" max="11785" width="9.140625" style="244" customWidth="1"/>
    <col min="11786" max="12032" width="8.7109375" style="244" customWidth="1"/>
    <col min="12033" max="12033" width="6.140625" style="244" customWidth="1"/>
    <col min="12034" max="12034" width="15.140625" style="244" customWidth="1"/>
    <col min="12035" max="12035" width="35.00390625" style="244" customWidth="1"/>
    <col min="12036" max="12036" width="6.7109375" style="244" customWidth="1"/>
    <col min="12037" max="12037" width="8.421875" style="244" customWidth="1"/>
    <col min="12038" max="12038" width="8.7109375" style="244" customWidth="1"/>
    <col min="12039" max="12039" width="8.28125" style="244" customWidth="1"/>
    <col min="12040" max="12040" width="8.140625" style="244" customWidth="1"/>
    <col min="12041" max="12041" width="9.140625" style="244" customWidth="1"/>
    <col min="12042" max="12288" width="8.7109375" style="244" customWidth="1"/>
    <col min="12289" max="12289" width="6.140625" style="244" customWidth="1"/>
    <col min="12290" max="12290" width="15.140625" style="244" customWidth="1"/>
    <col min="12291" max="12291" width="35.00390625" style="244" customWidth="1"/>
    <col min="12292" max="12292" width="6.7109375" style="244" customWidth="1"/>
    <col min="12293" max="12293" width="8.421875" style="244" customWidth="1"/>
    <col min="12294" max="12294" width="8.7109375" style="244" customWidth="1"/>
    <col min="12295" max="12295" width="8.28125" style="244" customWidth="1"/>
    <col min="12296" max="12296" width="8.140625" style="244" customWidth="1"/>
    <col min="12297" max="12297" width="9.140625" style="244" customWidth="1"/>
    <col min="12298" max="12544" width="8.7109375" style="244" customWidth="1"/>
    <col min="12545" max="12545" width="6.140625" style="244" customWidth="1"/>
    <col min="12546" max="12546" width="15.140625" style="244" customWidth="1"/>
    <col min="12547" max="12547" width="35.00390625" style="244" customWidth="1"/>
    <col min="12548" max="12548" width="6.7109375" style="244" customWidth="1"/>
    <col min="12549" max="12549" width="8.421875" style="244" customWidth="1"/>
    <col min="12550" max="12550" width="8.7109375" style="244" customWidth="1"/>
    <col min="12551" max="12551" width="8.28125" style="244" customWidth="1"/>
    <col min="12552" max="12552" width="8.140625" style="244" customWidth="1"/>
    <col min="12553" max="12553" width="9.140625" style="244" customWidth="1"/>
    <col min="12554" max="12800" width="8.7109375" style="244" customWidth="1"/>
    <col min="12801" max="12801" width="6.140625" style="244" customWidth="1"/>
    <col min="12802" max="12802" width="15.140625" style="244" customWidth="1"/>
    <col min="12803" max="12803" width="35.00390625" style="244" customWidth="1"/>
    <col min="12804" max="12804" width="6.7109375" style="244" customWidth="1"/>
    <col min="12805" max="12805" width="8.421875" style="244" customWidth="1"/>
    <col min="12806" max="12806" width="8.7109375" style="244" customWidth="1"/>
    <col min="12807" max="12807" width="8.28125" style="244" customWidth="1"/>
    <col min="12808" max="12808" width="8.140625" style="244" customWidth="1"/>
    <col min="12809" max="12809" width="9.140625" style="244" customWidth="1"/>
    <col min="12810" max="13056" width="8.7109375" style="244" customWidth="1"/>
    <col min="13057" max="13057" width="6.140625" style="244" customWidth="1"/>
    <col min="13058" max="13058" width="15.140625" style="244" customWidth="1"/>
    <col min="13059" max="13059" width="35.00390625" style="244" customWidth="1"/>
    <col min="13060" max="13060" width="6.7109375" style="244" customWidth="1"/>
    <col min="13061" max="13061" width="8.421875" style="244" customWidth="1"/>
    <col min="13062" max="13062" width="8.7109375" style="244" customWidth="1"/>
    <col min="13063" max="13063" width="8.28125" style="244" customWidth="1"/>
    <col min="13064" max="13064" width="8.140625" style="244" customWidth="1"/>
    <col min="13065" max="13065" width="9.140625" style="244" customWidth="1"/>
    <col min="13066" max="13312" width="8.7109375" style="244" customWidth="1"/>
    <col min="13313" max="13313" width="6.140625" style="244" customWidth="1"/>
    <col min="13314" max="13314" width="15.140625" style="244" customWidth="1"/>
    <col min="13315" max="13315" width="35.00390625" style="244" customWidth="1"/>
    <col min="13316" max="13316" width="6.7109375" style="244" customWidth="1"/>
    <col min="13317" max="13317" width="8.421875" style="244" customWidth="1"/>
    <col min="13318" max="13318" width="8.7109375" style="244" customWidth="1"/>
    <col min="13319" max="13319" width="8.28125" style="244" customWidth="1"/>
    <col min="13320" max="13320" width="8.140625" style="244" customWidth="1"/>
    <col min="13321" max="13321" width="9.140625" style="244" customWidth="1"/>
    <col min="13322" max="13568" width="8.7109375" style="244" customWidth="1"/>
    <col min="13569" max="13569" width="6.140625" style="244" customWidth="1"/>
    <col min="13570" max="13570" width="15.140625" style="244" customWidth="1"/>
    <col min="13571" max="13571" width="35.00390625" style="244" customWidth="1"/>
    <col min="13572" max="13572" width="6.7109375" style="244" customWidth="1"/>
    <col min="13573" max="13573" width="8.421875" style="244" customWidth="1"/>
    <col min="13574" max="13574" width="8.7109375" style="244" customWidth="1"/>
    <col min="13575" max="13575" width="8.28125" style="244" customWidth="1"/>
    <col min="13576" max="13576" width="8.140625" style="244" customWidth="1"/>
    <col min="13577" max="13577" width="9.140625" style="244" customWidth="1"/>
    <col min="13578" max="13824" width="8.7109375" style="244" customWidth="1"/>
    <col min="13825" max="13825" width="6.140625" style="244" customWidth="1"/>
    <col min="13826" max="13826" width="15.140625" style="244" customWidth="1"/>
    <col min="13827" max="13827" width="35.00390625" style="244" customWidth="1"/>
    <col min="13828" max="13828" width="6.7109375" style="244" customWidth="1"/>
    <col min="13829" max="13829" width="8.421875" style="244" customWidth="1"/>
    <col min="13830" max="13830" width="8.7109375" style="244" customWidth="1"/>
    <col min="13831" max="13831" width="8.28125" style="244" customWidth="1"/>
    <col min="13832" max="13832" width="8.140625" style="244" customWidth="1"/>
    <col min="13833" max="13833" width="9.140625" style="244" customWidth="1"/>
    <col min="13834" max="14080" width="8.7109375" style="244" customWidth="1"/>
    <col min="14081" max="14081" width="6.140625" style="244" customWidth="1"/>
    <col min="14082" max="14082" width="15.140625" style="244" customWidth="1"/>
    <col min="14083" max="14083" width="35.00390625" style="244" customWidth="1"/>
    <col min="14084" max="14084" width="6.7109375" style="244" customWidth="1"/>
    <col min="14085" max="14085" width="8.421875" style="244" customWidth="1"/>
    <col min="14086" max="14086" width="8.7109375" style="244" customWidth="1"/>
    <col min="14087" max="14087" width="8.28125" style="244" customWidth="1"/>
    <col min="14088" max="14088" width="8.140625" style="244" customWidth="1"/>
    <col min="14089" max="14089" width="9.140625" style="244" customWidth="1"/>
    <col min="14090" max="14336" width="8.7109375" style="244" customWidth="1"/>
    <col min="14337" max="14337" width="6.140625" style="244" customWidth="1"/>
    <col min="14338" max="14338" width="15.140625" style="244" customWidth="1"/>
    <col min="14339" max="14339" width="35.00390625" style="244" customWidth="1"/>
    <col min="14340" max="14340" width="6.7109375" style="244" customWidth="1"/>
    <col min="14341" max="14341" width="8.421875" style="244" customWidth="1"/>
    <col min="14342" max="14342" width="8.7109375" style="244" customWidth="1"/>
    <col min="14343" max="14343" width="8.28125" style="244" customWidth="1"/>
    <col min="14344" max="14344" width="8.140625" style="244" customWidth="1"/>
    <col min="14345" max="14345" width="9.140625" style="244" customWidth="1"/>
    <col min="14346" max="14592" width="8.7109375" style="244" customWidth="1"/>
    <col min="14593" max="14593" width="6.140625" style="244" customWidth="1"/>
    <col min="14594" max="14594" width="15.140625" style="244" customWidth="1"/>
    <col min="14595" max="14595" width="35.00390625" style="244" customWidth="1"/>
    <col min="14596" max="14596" width="6.7109375" style="244" customWidth="1"/>
    <col min="14597" max="14597" width="8.421875" style="244" customWidth="1"/>
    <col min="14598" max="14598" width="8.7109375" style="244" customWidth="1"/>
    <col min="14599" max="14599" width="8.28125" style="244" customWidth="1"/>
    <col min="14600" max="14600" width="8.140625" style="244" customWidth="1"/>
    <col min="14601" max="14601" width="9.140625" style="244" customWidth="1"/>
    <col min="14602" max="14848" width="8.7109375" style="244" customWidth="1"/>
    <col min="14849" max="14849" width="6.140625" style="244" customWidth="1"/>
    <col min="14850" max="14850" width="15.140625" style="244" customWidth="1"/>
    <col min="14851" max="14851" width="35.00390625" style="244" customWidth="1"/>
    <col min="14852" max="14852" width="6.7109375" style="244" customWidth="1"/>
    <col min="14853" max="14853" width="8.421875" style="244" customWidth="1"/>
    <col min="14854" max="14854" width="8.7109375" style="244" customWidth="1"/>
    <col min="14855" max="14855" width="8.28125" style="244" customWidth="1"/>
    <col min="14856" max="14856" width="8.140625" style="244" customWidth="1"/>
    <col min="14857" max="14857" width="9.140625" style="244" customWidth="1"/>
    <col min="14858" max="15104" width="8.7109375" style="244" customWidth="1"/>
    <col min="15105" max="15105" width="6.140625" style="244" customWidth="1"/>
    <col min="15106" max="15106" width="15.140625" style="244" customWidth="1"/>
    <col min="15107" max="15107" width="35.00390625" style="244" customWidth="1"/>
    <col min="15108" max="15108" width="6.7109375" style="244" customWidth="1"/>
    <col min="15109" max="15109" width="8.421875" style="244" customWidth="1"/>
    <col min="15110" max="15110" width="8.7109375" style="244" customWidth="1"/>
    <col min="15111" max="15111" width="8.28125" style="244" customWidth="1"/>
    <col min="15112" max="15112" width="8.140625" style="244" customWidth="1"/>
    <col min="15113" max="15113" width="9.140625" style="244" customWidth="1"/>
    <col min="15114" max="15360" width="8.7109375" style="244" customWidth="1"/>
    <col min="15361" max="15361" width="6.140625" style="244" customWidth="1"/>
    <col min="15362" max="15362" width="15.140625" style="244" customWidth="1"/>
    <col min="15363" max="15363" width="35.00390625" style="244" customWidth="1"/>
    <col min="15364" max="15364" width="6.7109375" style="244" customWidth="1"/>
    <col min="15365" max="15365" width="8.421875" style="244" customWidth="1"/>
    <col min="15366" max="15366" width="8.7109375" style="244" customWidth="1"/>
    <col min="15367" max="15367" width="8.28125" style="244" customWidth="1"/>
    <col min="15368" max="15368" width="8.140625" style="244" customWidth="1"/>
    <col min="15369" max="15369" width="9.140625" style="244" customWidth="1"/>
    <col min="15370" max="15616" width="8.7109375" style="244" customWidth="1"/>
    <col min="15617" max="15617" width="6.140625" style="244" customWidth="1"/>
    <col min="15618" max="15618" width="15.140625" style="244" customWidth="1"/>
    <col min="15619" max="15619" width="35.00390625" style="244" customWidth="1"/>
    <col min="15620" max="15620" width="6.7109375" style="244" customWidth="1"/>
    <col min="15621" max="15621" width="8.421875" style="244" customWidth="1"/>
    <col min="15622" max="15622" width="8.7109375" style="244" customWidth="1"/>
    <col min="15623" max="15623" width="8.28125" style="244" customWidth="1"/>
    <col min="15624" max="15624" width="8.140625" style="244" customWidth="1"/>
    <col min="15625" max="15625" width="9.140625" style="244" customWidth="1"/>
    <col min="15626" max="15872" width="8.7109375" style="244" customWidth="1"/>
    <col min="15873" max="15873" width="6.140625" style="244" customWidth="1"/>
    <col min="15874" max="15874" width="15.140625" style="244" customWidth="1"/>
    <col min="15875" max="15875" width="35.00390625" style="244" customWidth="1"/>
    <col min="15876" max="15876" width="6.7109375" style="244" customWidth="1"/>
    <col min="15877" max="15877" width="8.421875" style="244" customWidth="1"/>
    <col min="15878" max="15878" width="8.7109375" style="244" customWidth="1"/>
    <col min="15879" max="15879" width="8.28125" style="244" customWidth="1"/>
    <col min="15880" max="15880" width="8.140625" style="244" customWidth="1"/>
    <col min="15881" max="15881" width="9.140625" style="244" customWidth="1"/>
    <col min="15882" max="16128" width="8.7109375" style="244" customWidth="1"/>
    <col min="16129" max="16129" width="6.140625" style="244" customWidth="1"/>
    <col min="16130" max="16130" width="15.140625" style="244" customWidth="1"/>
    <col min="16131" max="16131" width="35.00390625" style="244" customWidth="1"/>
    <col min="16132" max="16132" width="6.7109375" style="244" customWidth="1"/>
    <col min="16133" max="16133" width="8.421875" style="244" customWidth="1"/>
    <col min="16134" max="16134" width="8.7109375" style="244" customWidth="1"/>
    <col min="16135" max="16135" width="8.28125" style="244" customWidth="1"/>
    <col min="16136" max="16136" width="8.140625" style="244" customWidth="1"/>
    <col min="16137" max="16137" width="9.140625" style="244" customWidth="1"/>
    <col min="16138" max="16138" width="8.7109375" style="244" customWidth="1"/>
    <col min="16139" max="16384" width="8.7109375" style="244" customWidth="1"/>
  </cols>
  <sheetData>
    <row r="1" spans="1:10" ht="15">
      <c r="A1" s="420"/>
      <c r="B1" s="420"/>
      <c r="C1" s="420"/>
      <c r="D1" s="420"/>
      <c r="E1" s="420"/>
      <c r="F1" s="420"/>
      <c r="G1" s="420"/>
      <c r="H1" s="420"/>
      <c r="I1" s="420"/>
      <c r="J1" s="420"/>
    </row>
    <row r="2" spans="1:10" ht="15">
      <c r="A2" s="420" t="s">
        <v>1103</v>
      </c>
      <c r="B2" s="420" t="s">
        <v>1104</v>
      </c>
      <c r="C2" s="421" t="s">
        <v>1292</v>
      </c>
      <c r="D2" s="420"/>
      <c r="E2" s="420"/>
      <c r="F2" s="420" t="s">
        <v>1106</v>
      </c>
      <c r="G2" s="420" t="s">
        <v>1107</v>
      </c>
      <c r="H2" s="420" t="s">
        <v>1293</v>
      </c>
      <c r="I2" s="420"/>
      <c r="J2" s="420"/>
    </row>
    <row r="3" spans="1:10" ht="21">
      <c r="A3" s="420" t="s">
        <v>1103</v>
      </c>
      <c r="B3" s="420" t="s">
        <v>1109</v>
      </c>
      <c r="C3" s="421" t="s">
        <v>1189</v>
      </c>
      <c r="D3" s="420"/>
      <c r="E3" s="420"/>
      <c r="F3" s="420" t="s">
        <v>1111</v>
      </c>
      <c r="G3" s="420" t="s">
        <v>1112</v>
      </c>
      <c r="H3" s="420" t="s">
        <v>1294</v>
      </c>
      <c r="I3" s="420"/>
      <c r="J3" s="420"/>
    </row>
    <row r="4" spans="1:10" ht="15">
      <c r="A4" s="420"/>
      <c r="B4" s="420"/>
      <c r="C4" s="421"/>
      <c r="D4" s="420"/>
      <c r="E4" s="420"/>
      <c r="F4" s="420"/>
      <c r="G4" s="420"/>
      <c r="H4" s="420"/>
      <c r="I4" s="420"/>
      <c r="J4" s="420"/>
    </row>
    <row r="5" spans="1:10" ht="21">
      <c r="A5" s="420" t="s">
        <v>1191</v>
      </c>
      <c r="B5" s="420" t="s">
        <v>1114</v>
      </c>
      <c r="C5" s="421" t="s">
        <v>1115</v>
      </c>
      <c r="D5" s="420" t="s">
        <v>1116</v>
      </c>
      <c r="E5" s="421" t="s">
        <v>1117</v>
      </c>
      <c r="F5" s="421" t="s">
        <v>1118</v>
      </c>
      <c r="G5" s="421" t="s">
        <v>1119</v>
      </c>
      <c r="H5" s="421" t="s">
        <v>1120</v>
      </c>
      <c r="I5" s="421" t="s">
        <v>1192</v>
      </c>
      <c r="J5" s="421" t="s">
        <v>1193</v>
      </c>
    </row>
    <row r="6" spans="1:10" ht="15">
      <c r="A6" s="420"/>
      <c r="B6" s="420"/>
      <c r="C6" s="421"/>
      <c r="D6" s="420"/>
      <c r="E6" s="420"/>
      <c r="F6" s="420"/>
      <c r="G6" s="420"/>
      <c r="H6" s="420"/>
      <c r="I6" s="420"/>
      <c r="J6" s="420"/>
    </row>
    <row r="7" spans="1:10" ht="15">
      <c r="A7" s="420"/>
      <c r="B7" s="420" t="s">
        <v>1295</v>
      </c>
      <c r="C7" s="421" t="s">
        <v>1292</v>
      </c>
      <c r="D7" s="420"/>
      <c r="E7" s="420"/>
      <c r="F7" s="420"/>
      <c r="G7" s="420"/>
      <c r="H7" s="420"/>
      <c r="I7" s="420"/>
      <c r="J7" s="420"/>
    </row>
    <row r="8" spans="1:10" ht="21">
      <c r="A8" s="420">
        <v>1</v>
      </c>
      <c r="B8" s="420" t="s">
        <v>1296</v>
      </c>
      <c r="C8" s="421" t="s">
        <v>1297</v>
      </c>
      <c r="D8" s="420" t="s">
        <v>847</v>
      </c>
      <c r="E8" s="422">
        <v>16</v>
      </c>
      <c r="F8" s="418"/>
      <c r="G8" s="422">
        <f aca="true" t="shared" si="0" ref="G8:G9">E8*F8</f>
        <v>0</v>
      </c>
      <c r="H8" s="422"/>
      <c r="I8" s="422">
        <v>0.01</v>
      </c>
      <c r="J8" s="418"/>
    </row>
    <row r="9" spans="1:10" ht="15">
      <c r="A9" s="420">
        <v>2</v>
      </c>
      <c r="B9" s="420" t="s">
        <v>1298</v>
      </c>
      <c r="C9" s="421" t="s">
        <v>1299</v>
      </c>
      <c r="D9" s="420" t="s">
        <v>1201</v>
      </c>
      <c r="E9" s="422">
        <v>196</v>
      </c>
      <c r="F9" s="418"/>
      <c r="G9" s="422">
        <f t="shared" si="0"/>
        <v>0</v>
      </c>
      <c r="H9" s="422"/>
      <c r="I9" s="422"/>
      <c r="J9" s="418"/>
    </row>
    <row r="10" spans="1:10" ht="15">
      <c r="A10" s="420">
        <v>3</v>
      </c>
      <c r="B10" s="420" t="s">
        <v>1300</v>
      </c>
      <c r="C10" s="421" t="s">
        <v>1301</v>
      </c>
      <c r="D10" s="420"/>
      <c r="E10" s="422"/>
      <c r="F10" s="418"/>
      <c r="G10" s="422"/>
      <c r="H10" s="422"/>
      <c r="I10" s="422"/>
      <c r="J10" s="418"/>
    </row>
    <row r="11" spans="1:10" ht="31.2">
      <c r="A11" s="420">
        <v>4</v>
      </c>
      <c r="B11" s="420" t="s">
        <v>1302</v>
      </c>
      <c r="C11" s="421" t="s">
        <v>1303</v>
      </c>
      <c r="D11" s="420" t="s">
        <v>1136</v>
      </c>
      <c r="E11" s="422">
        <v>1</v>
      </c>
      <c r="F11" s="418"/>
      <c r="G11" s="422">
        <f aca="true" t="shared" si="1" ref="G11:G19">E11*F11</f>
        <v>0</v>
      </c>
      <c r="H11" s="422"/>
      <c r="I11" s="422">
        <v>0.001</v>
      </c>
      <c r="J11" s="418"/>
    </row>
    <row r="12" spans="1:10" ht="21">
      <c r="A12" s="420">
        <v>5</v>
      </c>
      <c r="B12" s="420" t="s">
        <v>1304</v>
      </c>
      <c r="C12" s="421" t="s">
        <v>1305</v>
      </c>
      <c r="D12" s="420" t="s">
        <v>1136</v>
      </c>
      <c r="E12" s="422">
        <v>2</v>
      </c>
      <c r="F12" s="418"/>
      <c r="G12" s="422">
        <f t="shared" si="1"/>
        <v>0</v>
      </c>
      <c r="H12" s="422"/>
      <c r="I12" s="422">
        <v>0.003</v>
      </c>
      <c r="J12" s="418"/>
    </row>
    <row r="13" spans="1:10" ht="15">
      <c r="A13" s="420">
        <v>6</v>
      </c>
      <c r="B13" s="420" t="s">
        <v>1306</v>
      </c>
      <c r="C13" s="421" t="s">
        <v>1307</v>
      </c>
      <c r="D13" s="420" t="s">
        <v>1136</v>
      </c>
      <c r="E13" s="422">
        <v>2</v>
      </c>
      <c r="F13" s="418"/>
      <c r="G13" s="422">
        <f t="shared" si="1"/>
        <v>0</v>
      </c>
      <c r="H13" s="422"/>
      <c r="I13" s="422">
        <v>0.002</v>
      </c>
      <c r="J13" s="418"/>
    </row>
    <row r="14" spans="1:10" ht="15">
      <c r="A14" s="420">
        <v>7</v>
      </c>
      <c r="B14" s="420" t="s">
        <v>1308</v>
      </c>
      <c r="C14" s="421" t="s">
        <v>1309</v>
      </c>
      <c r="D14" s="420" t="s">
        <v>1136</v>
      </c>
      <c r="E14" s="422">
        <v>2</v>
      </c>
      <c r="F14" s="418"/>
      <c r="G14" s="422">
        <f t="shared" si="1"/>
        <v>0</v>
      </c>
      <c r="H14" s="422"/>
      <c r="I14" s="422">
        <v>0.001</v>
      </c>
      <c r="J14" s="418"/>
    </row>
    <row r="15" spans="1:10" ht="15">
      <c r="A15" s="420">
        <v>8</v>
      </c>
      <c r="B15" s="420" t="s">
        <v>1310</v>
      </c>
      <c r="C15" s="421" t="s">
        <v>1311</v>
      </c>
      <c r="D15" s="420" t="s">
        <v>1136</v>
      </c>
      <c r="E15" s="422">
        <v>1</v>
      </c>
      <c r="F15" s="418"/>
      <c r="G15" s="422">
        <f t="shared" si="1"/>
        <v>0</v>
      </c>
      <c r="H15" s="422"/>
      <c r="I15" s="422">
        <v>0.001</v>
      </c>
      <c r="J15" s="418"/>
    </row>
    <row r="16" spans="1:10" ht="15">
      <c r="A16" s="420">
        <v>9</v>
      </c>
      <c r="B16" s="420" t="s">
        <v>1312</v>
      </c>
      <c r="C16" s="421" t="s">
        <v>1313</v>
      </c>
      <c r="D16" s="420" t="s">
        <v>847</v>
      </c>
      <c r="E16" s="422">
        <v>10</v>
      </c>
      <c r="F16" s="418"/>
      <c r="G16" s="422">
        <f t="shared" si="1"/>
        <v>0</v>
      </c>
      <c r="H16" s="422"/>
      <c r="I16" s="422">
        <v>0.001</v>
      </c>
      <c r="J16" s="418"/>
    </row>
    <row r="17" spans="1:10" ht="15">
      <c r="A17" s="420">
        <v>10</v>
      </c>
      <c r="B17" s="420" t="s">
        <v>1314</v>
      </c>
      <c r="C17" s="421" t="s">
        <v>1315</v>
      </c>
      <c r="D17" s="420" t="s">
        <v>847</v>
      </c>
      <c r="E17" s="422">
        <v>4</v>
      </c>
      <c r="F17" s="418"/>
      <c r="G17" s="422">
        <f t="shared" si="1"/>
        <v>0</v>
      </c>
      <c r="H17" s="422"/>
      <c r="I17" s="422">
        <v>0.02</v>
      </c>
      <c r="J17" s="418"/>
    </row>
    <row r="18" spans="1:10" ht="15">
      <c r="A18" s="420">
        <v>11</v>
      </c>
      <c r="B18" s="420" t="s">
        <v>1316</v>
      </c>
      <c r="C18" s="421" t="s">
        <v>1317</v>
      </c>
      <c r="D18" s="420" t="s">
        <v>1136</v>
      </c>
      <c r="E18" s="422">
        <v>1</v>
      </c>
      <c r="F18" s="418"/>
      <c r="G18" s="422">
        <f t="shared" si="1"/>
        <v>0</v>
      </c>
      <c r="H18" s="422"/>
      <c r="I18" s="422">
        <v>0.001</v>
      </c>
      <c r="J18" s="418"/>
    </row>
    <row r="19" spans="1:10" ht="15">
      <c r="A19" s="420">
        <v>12</v>
      </c>
      <c r="B19" s="420" t="s">
        <v>1318</v>
      </c>
      <c r="C19" s="421" t="s">
        <v>1319</v>
      </c>
      <c r="D19" s="420" t="s">
        <v>1136</v>
      </c>
      <c r="E19" s="422">
        <v>1</v>
      </c>
      <c r="F19" s="418"/>
      <c r="G19" s="422">
        <f t="shared" si="1"/>
        <v>0</v>
      </c>
      <c r="H19" s="422"/>
      <c r="I19" s="422">
        <v>0.001</v>
      </c>
      <c r="J19" s="418"/>
    </row>
    <row r="20" spans="1:10" ht="15">
      <c r="A20" s="420">
        <v>13</v>
      </c>
      <c r="B20" s="420" t="s">
        <v>1320</v>
      </c>
      <c r="C20" s="421" t="s">
        <v>1321</v>
      </c>
      <c r="D20" s="420"/>
      <c r="E20" s="422"/>
      <c r="F20" s="418"/>
      <c r="G20" s="422"/>
      <c r="H20" s="422"/>
      <c r="I20" s="422"/>
      <c r="J20" s="418"/>
    </row>
    <row r="21" spans="1:10" ht="15">
      <c r="A21" s="420">
        <v>14</v>
      </c>
      <c r="B21" s="420" t="s">
        <v>1304</v>
      </c>
      <c r="C21" s="421" t="s">
        <v>1322</v>
      </c>
      <c r="D21" s="420" t="s">
        <v>1136</v>
      </c>
      <c r="E21" s="422">
        <v>2</v>
      </c>
      <c r="F21" s="418"/>
      <c r="G21" s="422">
        <f aca="true" t="shared" si="2" ref="G21:G28">E21*F21</f>
        <v>0</v>
      </c>
      <c r="H21" s="422"/>
      <c r="I21" s="422">
        <v>0.01</v>
      </c>
      <c r="J21" s="418"/>
    </row>
    <row r="22" spans="1:10" ht="15">
      <c r="A22" s="420">
        <v>15</v>
      </c>
      <c r="B22" s="420" t="s">
        <v>1306</v>
      </c>
      <c r="C22" s="421" t="s">
        <v>1323</v>
      </c>
      <c r="D22" s="420" t="s">
        <v>1136</v>
      </c>
      <c r="E22" s="422">
        <v>4</v>
      </c>
      <c r="F22" s="418"/>
      <c r="G22" s="422">
        <f t="shared" si="2"/>
        <v>0</v>
      </c>
      <c r="H22" s="422"/>
      <c r="I22" s="422">
        <v>0.002</v>
      </c>
      <c r="J22" s="418"/>
    </row>
    <row r="23" spans="1:10" ht="15">
      <c r="A23" s="420">
        <v>16</v>
      </c>
      <c r="B23" s="420" t="s">
        <v>1308</v>
      </c>
      <c r="C23" s="421" t="s">
        <v>1324</v>
      </c>
      <c r="D23" s="420" t="s">
        <v>1136</v>
      </c>
      <c r="E23" s="422">
        <v>4</v>
      </c>
      <c r="F23" s="418"/>
      <c r="G23" s="422">
        <f t="shared" si="2"/>
        <v>0</v>
      </c>
      <c r="H23" s="422"/>
      <c r="I23" s="422">
        <v>0.001</v>
      </c>
      <c r="J23" s="418"/>
    </row>
    <row r="24" spans="1:10" ht="15">
      <c r="A24" s="420">
        <v>17</v>
      </c>
      <c r="B24" s="420" t="s">
        <v>1310</v>
      </c>
      <c r="C24" s="421" t="s">
        <v>1325</v>
      </c>
      <c r="D24" s="420" t="s">
        <v>1136</v>
      </c>
      <c r="E24" s="422">
        <v>4</v>
      </c>
      <c r="F24" s="418"/>
      <c r="G24" s="422">
        <f t="shared" si="2"/>
        <v>0</v>
      </c>
      <c r="H24" s="422"/>
      <c r="I24" s="422">
        <v>0.003</v>
      </c>
      <c r="J24" s="418"/>
    </row>
    <row r="25" spans="1:10" ht="15">
      <c r="A25" s="420">
        <v>18</v>
      </c>
      <c r="B25" s="420" t="s">
        <v>1314</v>
      </c>
      <c r="C25" s="421" t="s">
        <v>1326</v>
      </c>
      <c r="D25" s="420" t="s">
        <v>847</v>
      </c>
      <c r="E25" s="422">
        <v>24</v>
      </c>
      <c r="F25" s="418"/>
      <c r="G25" s="422">
        <f t="shared" si="2"/>
        <v>0</v>
      </c>
      <c r="H25" s="422"/>
      <c r="I25" s="422">
        <v>0.002</v>
      </c>
      <c r="J25" s="418"/>
    </row>
    <row r="26" spans="1:10" ht="15">
      <c r="A26" s="420">
        <v>19</v>
      </c>
      <c r="B26" s="420" t="s">
        <v>1316</v>
      </c>
      <c r="C26" s="421" t="s">
        <v>1327</v>
      </c>
      <c r="D26" s="420" t="s">
        <v>1136</v>
      </c>
      <c r="E26" s="422">
        <v>10</v>
      </c>
      <c r="F26" s="418"/>
      <c r="G26" s="422">
        <f t="shared" si="2"/>
        <v>0</v>
      </c>
      <c r="H26" s="422"/>
      <c r="I26" s="422">
        <v>0.001</v>
      </c>
      <c r="J26" s="418"/>
    </row>
    <row r="27" spans="1:10" ht="41.4">
      <c r="A27" s="420">
        <v>20</v>
      </c>
      <c r="B27" s="420" t="s">
        <v>1328</v>
      </c>
      <c r="C27" s="421" t="s">
        <v>1329</v>
      </c>
      <c r="D27" s="420" t="s">
        <v>1136</v>
      </c>
      <c r="E27" s="422">
        <v>2</v>
      </c>
      <c r="F27" s="418"/>
      <c r="G27" s="422">
        <f t="shared" si="2"/>
        <v>0</v>
      </c>
      <c r="H27" s="422"/>
      <c r="I27" s="422">
        <v>0.022</v>
      </c>
      <c r="J27" s="418"/>
    </row>
    <row r="28" spans="1:10" ht="41.4">
      <c r="A28" s="420">
        <v>20</v>
      </c>
      <c r="B28" s="420" t="s">
        <v>1330</v>
      </c>
      <c r="C28" s="421" t="s">
        <v>1331</v>
      </c>
      <c r="D28" s="420" t="s">
        <v>1136</v>
      </c>
      <c r="E28" s="422">
        <v>2</v>
      </c>
      <c r="F28" s="418"/>
      <c r="G28" s="422">
        <f t="shared" si="2"/>
        <v>0</v>
      </c>
      <c r="H28" s="422"/>
      <c r="I28" s="422"/>
      <c r="J28" s="418"/>
    </row>
    <row r="29" spans="1:10" ht="15">
      <c r="A29" s="420">
        <v>21</v>
      </c>
      <c r="B29" s="420" t="s">
        <v>1332</v>
      </c>
      <c r="C29" s="421" t="s">
        <v>1333</v>
      </c>
      <c r="D29" s="420"/>
      <c r="E29" s="422"/>
      <c r="F29" s="418"/>
      <c r="G29" s="422"/>
      <c r="H29" s="422"/>
      <c r="I29" s="422"/>
      <c r="J29" s="418"/>
    </row>
    <row r="30" spans="1:10" ht="15">
      <c r="A30" s="420">
        <v>22</v>
      </c>
      <c r="B30" s="420" t="s">
        <v>1304</v>
      </c>
      <c r="C30" s="421" t="s">
        <v>1334</v>
      </c>
      <c r="D30" s="420" t="s">
        <v>1136</v>
      </c>
      <c r="E30" s="422">
        <v>40</v>
      </c>
      <c r="F30" s="418"/>
      <c r="G30" s="422">
        <f aca="true" t="shared" si="3" ref="G30:G49">E30*F30</f>
        <v>0</v>
      </c>
      <c r="H30" s="422"/>
      <c r="I30" s="422">
        <v>0.001</v>
      </c>
      <c r="J30" s="418"/>
    </row>
    <row r="31" spans="1:10" ht="15">
      <c r="A31" s="420">
        <v>23</v>
      </c>
      <c r="B31" s="420" t="s">
        <v>1308</v>
      </c>
      <c r="C31" s="421" t="s">
        <v>1335</v>
      </c>
      <c r="D31" s="420" t="s">
        <v>847</v>
      </c>
      <c r="E31" s="422">
        <v>180</v>
      </c>
      <c r="F31" s="418"/>
      <c r="G31" s="422">
        <f t="shared" si="3"/>
        <v>0</v>
      </c>
      <c r="H31" s="422"/>
      <c r="I31" s="422">
        <v>0.01</v>
      </c>
      <c r="J31" s="418"/>
    </row>
    <row r="32" spans="1:10" ht="15">
      <c r="A32" s="420">
        <v>24</v>
      </c>
      <c r="B32" s="420" t="s">
        <v>1310</v>
      </c>
      <c r="C32" s="421" t="s">
        <v>1336</v>
      </c>
      <c r="D32" s="420" t="s">
        <v>847</v>
      </c>
      <c r="E32" s="422">
        <v>12</v>
      </c>
      <c r="F32" s="418"/>
      <c r="G32" s="422">
        <f t="shared" si="3"/>
        <v>0</v>
      </c>
      <c r="H32" s="422"/>
      <c r="I32" s="422">
        <v>0.001</v>
      </c>
      <c r="J32" s="418"/>
    </row>
    <row r="33" spans="1:10" ht="15">
      <c r="A33" s="420">
        <v>25</v>
      </c>
      <c r="B33" s="420" t="s">
        <v>1312</v>
      </c>
      <c r="C33" s="421" t="s">
        <v>1337</v>
      </c>
      <c r="D33" s="420" t="s">
        <v>1136</v>
      </c>
      <c r="E33" s="422">
        <v>6</v>
      </c>
      <c r="F33" s="418"/>
      <c r="G33" s="422">
        <f t="shared" si="3"/>
        <v>0</v>
      </c>
      <c r="H33" s="422"/>
      <c r="I33" s="422">
        <v>0.01</v>
      </c>
      <c r="J33" s="418"/>
    </row>
    <row r="34" spans="1:10" ht="21">
      <c r="A34" s="420">
        <v>26</v>
      </c>
      <c r="B34" s="420" t="s">
        <v>1314</v>
      </c>
      <c r="C34" s="421" t="s">
        <v>1338</v>
      </c>
      <c r="D34" s="420" t="s">
        <v>1136</v>
      </c>
      <c r="E34" s="422">
        <v>4</v>
      </c>
      <c r="F34" s="418"/>
      <c r="G34" s="422">
        <f t="shared" si="3"/>
        <v>0</v>
      </c>
      <c r="H34" s="422"/>
      <c r="I34" s="422">
        <v>0.01</v>
      </c>
      <c r="J34" s="418"/>
    </row>
    <row r="35" spans="1:10" ht="31.2">
      <c r="A35" s="420">
        <v>27</v>
      </c>
      <c r="B35" s="420" t="s">
        <v>1339</v>
      </c>
      <c r="C35" s="421" t="s">
        <v>1340</v>
      </c>
      <c r="D35" s="420" t="s">
        <v>1136</v>
      </c>
      <c r="E35" s="422">
        <v>8</v>
      </c>
      <c r="F35" s="418"/>
      <c r="G35" s="422">
        <f t="shared" si="3"/>
        <v>0</v>
      </c>
      <c r="H35" s="422"/>
      <c r="I35" s="422">
        <v>0.01</v>
      </c>
      <c r="J35" s="418"/>
    </row>
    <row r="36" spans="1:10" ht="15">
      <c r="A36" s="420">
        <v>28</v>
      </c>
      <c r="B36" s="420" t="s">
        <v>1316</v>
      </c>
      <c r="C36" s="421" t="s">
        <v>1341</v>
      </c>
      <c r="D36" s="420" t="s">
        <v>1136</v>
      </c>
      <c r="E36" s="422">
        <v>4</v>
      </c>
      <c r="F36" s="418"/>
      <c r="G36" s="422">
        <f t="shared" si="3"/>
        <v>0</v>
      </c>
      <c r="H36" s="422"/>
      <c r="I36" s="422">
        <v>0.001</v>
      </c>
      <c r="J36" s="418"/>
    </row>
    <row r="37" spans="1:10" ht="50.7" customHeight="1">
      <c r="A37" s="420">
        <v>29</v>
      </c>
      <c r="B37" s="420" t="s">
        <v>1318</v>
      </c>
      <c r="C37" s="421" t="s">
        <v>1342</v>
      </c>
      <c r="D37" s="420" t="s">
        <v>1136</v>
      </c>
      <c r="E37" s="422">
        <v>2</v>
      </c>
      <c r="F37" s="418"/>
      <c r="G37" s="422">
        <f t="shared" si="3"/>
        <v>0</v>
      </c>
      <c r="H37" s="422"/>
      <c r="I37" s="422">
        <v>0.09</v>
      </c>
      <c r="J37" s="418"/>
    </row>
    <row r="38" spans="1:10" ht="15">
      <c r="A38" s="420">
        <v>30</v>
      </c>
      <c r="B38" s="420" t="s">
        <v>1328</v>
      </c>
      <c r="C38" s="421" t="s">
        <v>1343</v>
      </c>
      <c r="D38" s="420" t="s">
        <v>1136</v>
      </c>
      <c r="E38" s="422">
        <v>2</v>
      </c>
      <c r="F38" s="418"/>
      <c r="G38" s="422">
        <f t="shared" si="3"/>
        <v>0</v>
      </c>
      <c r="H38" s="422"/>
      <c r="I38" s="422">
        <v>0.001</v>
      </c>
      <c r="J38" s="418"/>
    </row>
    <row r="39" spans="1:10" ht="15">
      <c r="A39" s="420">
        <v>31</v>
      </c>
      <c r="B39" s="420" t="s">
        <v>1344</v>
      </c>
      <c r="C39" s="421" t="s">
        <v>1345</v>
      </c>
      <c r="D39" s="420" t="s">
        <v>1136</v>
      </c>
      <c r="E39" s="422">
        <v>4</v>
      </c>
      <c r="F39" s="418"/>
      <c r="G39" s="422">
        <f t="shared" si="3"/>
        <v>0</v>
      </c>
      <c r="H39" s="422"/>
      <c r="I39" s="422">
        <v>0.0015</v>
      </c>
      <c r="J39" s="418"/>
    </row>
    <row r="40" spans="1:10" ht="15">
      <c r="A40" s="420">
        <v>32</v>
      </c>
      <c r="B40" s="420" t="s">
        <v>1346</v>
      </c>
      <c r="C40" s="421" t="s">
        <v>1347</v>
      </c>
      <c r="D40" s="420" t="s">
        <v>847</v>
      </c>
      <c r="E40" s="422">
        <v>60</v>
      </c>
      <c r="F40" s="418"/>
      <c r="G40" s="422">
        <f t="shared" si="3"/>
        <v>0</v>
      </c>
      <c r="H40" s="422"/>
      <c r="I40" s="422">
        <v>0.0001</v>
      </c>
      <c r="J40" s="418"/>
    </row>
    <row r="41" spans="1:10" ht="15">
      <c r="A41" s="420">
        <v>33</v>
      </c>
      <c r="B41" s="420" t="s">
        <v>1348</v>
      </c>
      <c r="C41" s="421" t="s">
        <v>1349</v>
      </c>
      <c r="D41" s="420" t="s">
        <v>1126</v>
      </c>
      <c r="E41" s="422">
        <v>1</v>
      </c>
      <c r="F41" s="418"/>
      <c r="G41" s="422">
        <f t="shared" si="3"/>
        <v>0</v>
      </c>
      <c r="H41" s="422"/>
      <c r="I41" s="422"/>
      <c r="J41" s="418"/>
    </row>
    <row r="42" spans="1:10" ht="15">
      <c r="A42" s="420">
        <v>34</v>
      </c>
      <c r="B42" s="420" t="s">
        <v>1350</v>
      </c>
      <c r="C42" s="421" t="s">
        <v>1351</v>
      </c>
      <c r="D42" s="420" t="s">
        <v>1211</v>
      </c>
      <c r="E42" s="422">
        <v>120</v>
      </c>
      <c r="F42" s="418"/>
      <c r="G42" s="422">
        <f t="shared" si="3"/>
        <v>0</v>
      </c>
      <c r="H42" s="422"/>
      <c r="I42" s="422">
        <v>0.001</v>
      </c>
      <c r="J42" s="418"/>
    </row>
    <row r="43" spans="1:10" ht="15">
      <c r="A43" s="420">
        <v>35</v>
      </c>
      <c r="B43" s="420" t="s">
        <v>1352</v>
      </c>
      <c r="C43" s="421" t="s">
        <v>1353</v>
      </c>
      <c r="D43" s="420" t="s">
        <v>1211</v>
      </c>
      <c r="E43" s="422">
        <v>120</v>
      </c>
      <c r="F43" s="418"/>
      <c r="G43" s="422">
        <f t="shared" si="3"/>
        <v>0</v>
      </c>
      <c r="H43" s="422"/>
      <c r="I43" s="422">
        <v>0.001</v>
      </c>
      <c r="J43" s="418"/>
    </row>
    <row r="44" spans="1:10" ht="15">
      <c r="A44" s="420">
        <v>36</v>
      </c>
      <c r="B44" s="420" t="s">
        <v>1354</v>
      </c>
      <c r="C44" s="421" t="s">
        <v>1355</v>
      </c>
      <c r="D44" s="420" t="s">
        <v>1126</v>
      </c>
      <c r="E44" s="422">
        <v>0</v>
      </c>
      <c r="F44" s="418"/>
      <c r="G44" s="422">
        <f t="shared" si="3"/>
        <v>0</v>
      </c>
      <c r="H44" s="422"/>
      <c r="I44" s="422">
        <v>0.08</v>
      </c>
      <c r="J44" s="418"/>
    </row>
    <row r="45" spans="1:10" ht="15">
      <c r="A45" s="420">
        <v>37</v>
      </c>
      <c r="B45" s="420" t="s">
        <v>1356</v>
      </c>
      <c r="C45" s="421" t="s">
        <v>1357</v>
      </c>
      <c r="D45" s="420" t="s">
        <v>1171</v>
      </c>
      <c r="E45" s="422">
        <v>21.5</v>
      </c>
      <c r="F45" s="418"/>
      <c r="G45" s="422">
        <f t="shared" si="3"/>
        <v>0</v>
      </c>
      <c r="H45" s="422"/>
      <c r="I45" s="422">
        <v>0.001</v>
      </c>
      <c r="J45" s="418"/>
    </row>
    <row r="46" spans="1:10" ht="15">
      <c r="A46" s="420">
        <v>38</v>
      </c>
      <c r="B46" s="420" t="s">
        <v>1358</v>
      </c>
      <c r="C46" s="421" t="s">
        <v>1359</v>
      </c>
      <c r="D46" s="420" t="s">
        <v>1171</v>
      </c>
      <c r="E46" s="422">
        <v>17.8</v>
      </c>
      <c r="F46" s="418"/>
      <c r="G46" s="422">
        <f t="shared" si="3"/>
        <v>0</v>
      </c>
      <c r="H46" s="422"/>
      <c r="I46" s="422">
        <v>0.01</v>
      </c>
      <c r="J46" s="418"/>
    </row>
    <row r="47" spans="1:10" ht="15">
      <c r="A47" s="420">
        <v>39</v>
      </c>
      <c r="B47" s="420" t="s">
        <v>1360</v>
      </c>
      <c r="C47" s="421" t="s">
        <v>1361</v>
      </c>
      <c r="D47" s="420" t="s">
        <v>1201</v>
      </c>
      <c r="E47" s="422">
        <v>24</v>
      </c>
      <c r="F47" s="418"/>
      <c r="G47" s="422">
        <f t="shared" si="3"/>
        <v>0</v>
      </c>
      <c r="H47" s="422"/>
      <c r="I47" s="422"/>
      <c r="J47" s="418"/>
    </row>
    <row r="48" spans="1:10" ht="15">
      <c r="A48" s="420">
        <v>40</v>
      </c>
      <c r="B48" s="420" t="s">
        <v>1362</v>
      </c>
      <c r="C48" s="421" t="s">
        <v>1363</v>
      </c>
      <c r="D48" s="420" t="s">
        <v>1201</v>
      </c>
      <c r="E48" s="422">
        <v>12</v>
      </c>
      <c r="F48" s="418"/>
      <c r="G48" s="422">
        <f t="shared" si="3"/>
        <v>0</v>
      </c>
      <c r="H48" s="422"/>
      <c r="I48" s="422"/>
      <c r="J48" s="418"/>
    </row>
    <row r="49" spans="1:10" ht="15">
      <c r="A49" s="420">
        <v>41</v>
      </c>
      <c r="B49" s="420" t="s">
        <v>1364</v>
      </c>
      <c r="C49" s="421" t="s">
        <v>1365</v>
      </c>
      <c r="D49" s="420" t="s">
        <v>1183</v>
      </c>
      <c r="E49" s="422" t="s">
        <v>1366</v>
      </c>
      <c r="F49" s="418"/>
      <c r="G49" s="422">
        <f t="shared" si="3"/>
        <v>0</v>
      </c>
      <c r="H49" s="422"/>
      <c r="I49" s="422"/>
      <c r="J49" s="418"/>
    </row>
    <row r="50" spans="1:10" ht="15">
      <c r="A50" s="420"/>
      <c r="B50" s="420" t="s">
        <v>1367</v>
      </c>
      <c r="C50" s="421" t="s">
        <v>1368</v>
      </c>
      <c r="D50" s="420"/>
      <c r="E50" s="422"/>
      <c r="F50" s="422"/>
      <c r="G50" s="422">
        <f>SUM(G8:G49)</f>
        <v>0</v>
      </c>
      <c r="H50" s="422" t="s">
        <v>1186</v>
      </c>
      <c r="I50" s="422"/>
      <c r="J50" s="418"/>
    </row>
    <row r="51" spans="1:10" ht="15">
      <c r="A51" s="243"/>
      <c r="B51" s="243"/>
      <c r="C51" s="243"/>
      <c r="D51" s="243"/>
      <c r="E51" s="243"/>
      <c r="F51" s="243"/>
      <c r="G51" s="243"/>
      <c r="H51" s="243"/>
      <c r="I51" s="243"/>
      <c r="J51" s="243"/>
    </row>
    <row r="52" spans="1:10" ht="15">
      <c r="A52" s="243"/>
      <c r="B52" s="243"/>
      <c r="C52" s="243"/>
      <c r="D52" s="243"/>
      <c r="E52" s="243"/>
      <c r="F52" s="243"/>
      <c r="G52" s="243"/>
      <c r="H52" s="243"/>
      <c r="I52" s="243"/>
      <c r="J52" s="243"/>
    </row>
    <row r="53" spans="1:10" ht="15">
      <c r="A53" s="243"/>
      <c r="B53" s="243"/>
      <c r="C53" s="243"/>
      <c r="D53" s="243"/>
      <c r="E53" s="243"/>
      <c r="F53" s="243"/>
      <c r="G53" s="243"/>
      <c r="H53" s="243"/>
      <c r="I53" s="243"/>
      <c r="J53" s="243"/>
    </row>
    <row r="54" spans="1:10" ht="15">
      <c r="A54" s="243"/>
      <c r="B54" s="243"/>
      <c r="C54" s="243"/>
      <c r="D54" s="243"/>
      <c r="E54" s="243"/>
      <c r="F54" s="243"/>
      <c r="G54" s="243"/>
      <c r="H54" s="243"/>
      <c r="I54" s="243"/>
      <c r="J54" s="243"/>
    </row>
  </sheetData>
  <sheetProtection algorithmName="SHA-512" hashValue="5aoAeHYEA8gWWc6uksiA1L4lEInRaWKaP++9KTHTGEZO0G3l+QBgKKXULfwbilF9YesSSLxFugCvYbB3wVJSuA==" saltValue="AQ5qzp73KE4AOEIfo1fS2g==" spinCount="100000" sheet="1" objects="1" scenarios="1"/>
  <printOptions/>
  <pageMargins left="0.747916666666667" right="0.747916666666667" top="0.984027777777778" bottom="0.984027777777778" header="0.511811023622047" footer="0.511811023622047"/>
  <pageSetup fitToHeight="99" fitToWidth="1" horizontalDpi="300" verticalDpi="300" orientation="portrait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zoomScale="130" zoomScaleNormal="130" workbookViewId="0" topLeftCell="A91">
      <selection activeCell="F10" sqref="F10"/>
    </sheetView>
  </sheetViews>
  <sheetFormatPr defaultColWidth="11.57421875" defaultRowHeight="15"/>
  <cols>
    <col min="1" max="1" width="6.7109375" style="244" customWidth="1"/>
    <col min="2" max="2" width="16.7109375" style="244" customWidth="1"/>
    <col min="3" max="3" width="38.7109375" style="244" customWidth="1"/>
    <col min="4" max="4" width="6.00390625" style="244" customWidth="1"/>
    <col min="5" max="5" width="8.7109375" style="244" customWidth="1"/>
    <col min="6" max="6" width="8.421875" style="244" customWidth="1"/>
    <col min="7" max="7" width="9.00390625" style="244" customWidth="1"/>
    <col min="8" max="8" width="9.421875" style="244" customWidth="1"/>
    <col min="9" max="9" width="8.7109375" style="244" customWidth="1"/>
    <col min="10" max="10" width="9.421875" style="244" customWidth="1"/>
    <col min="11" max="256" width="8.7109375" style="244" customWidth="1"/>
    <col min="257" max="257" width="6.7109375" style="244" customWidth="1"/>
    <col min="258" max="258" width="16.7109375" style="244" customWidth="1"/>
    <col min="259" max="259" width="38.7109375" style="244" customWidth="1"/>
    <col min="260" max="260" width="6.00390625" style="244" customWidth="1"/>
    <col min="261" max="261" width="8.7109375" style="244" customWidth="1"/>
    <col min="262" max="262" width="8.421875" style="244" customWidth="1"/>
    <col min="263" max="263" width="9.00390625" style="244" customWidth="1"/>
    <col min="264" max="264" width="9.421875" style="244" customWidth="1"/>
    <col min="265" max="265" width="8.7109375" style="244" customWidth="1"/>
    <col min="266" max="266" width="9.421875" style="244" customWidth="1"/>
    <col min="267" max="512" width="8.7109375" style="244" customWidth="1"/>
    <col min="513" max="513" width="6.7109375" style="244" customWidth="1"/>
    <col min="514" max="514" width="16.7109375" style="244" customWidth="1"/>
    <col min="515" max="515" width="38.7109375" style="244" customWidth="1"/>
    <col min="516" max="516" width="6.00390625" style="244" customWidth="1"/>
    <col min="517" max="517" width="8.7109375" style="244" customWidth="1"/>
    <col min="518" max="518" width="8.421875" style="244" customWidth="1"/>
    <col min="519" max="519" width="9.00390625" style="244" customWidth="1"/>
    <col min="520" max="520" width="9.421875" style="244" customWidth="1"/>
    <col min="521" max="521" width="8.7109375" style="244" customWidth="1"/>
    <col min="522" max="522" width="9.421875" style="244" customWidth="1"/>
    <col min="523" max="768" width="8.7109375" style="244" customWidth="1"/>
    <col min="769" max="769" width="6.7109375" style="244" customWidth="1"/>
    <col min="770" max="770" width="16.7109375" style="244" customWidth="1"/>
    <col min="771" max="771" width="38.7109375" style="244" customWidth="1"/>
    <col min="772" max="772" width="6.00390625" style="244" customWidth="1"/>
    <col min="773" max="773" width="8.7109375" style="244" customWidth="1"/>
    <col min="774" max="774" width="8.421875" style="244" customWidth="1"/>
    <col min="775" max="775" width="9.00390625" style="244" customWidth="1"/>
    <col min="776" max="776" width="9.421875" style="244" customWidth="1"/>
    <col min="777" max="777" width="8.7109375" style="244" customWidth="1"/>
    <col min="778" max="778" width="9.421875" style="244" customWidth="1"/>
    <col min="779" max="1024" width="8.7109375" style="244" customWidth="1"/>
    <col min="1025" max="1025" width="6.7109375" style="244" customWidth="1"/>
    <col min="1026" max="1026" width="16.7109375" style="244" customWidth="1"/>
    <col min="1027" max="1027" width="38.7109375" style="244" customWidth="1"/>
    <col min="1028" max="1028" width="6.00390625" style="244" customWidth="1"/>
    <col min="1029" max="1029" width="8.7109375" style="244" customWidth="1"/>
    <col min="1030" max="1030" width="8.421875" style="244" customWidth="1"/>
    <col min="1031" max="1031" width="9.00390625" style="244" customWidth="1"/>
    <col min="1032" max="1032" width="9.421875" style="244" customWidth="1"/>
    <col min="1033" max="1033" width="8.7109375" style="244" customWidth="1"/>
    <col min="1034" max="1034" width="9.421875" style="244" customWidth="1"/>
    <col min="1035" max="1280" width="8.7109375" style="244" customWidth="1"/>
    <col min="1281" max="1281" width="6.7109375" style="244" customWidth="1"/>
    <col min="1282" max="1282" width="16.7109375" style="244" customWidth="1"/>
    <col min="1283" max="1283" width="38.7109375" style="244" customWidth="1"/>
    <col min="1284" max="1284" width="6.00390625" style="244" customWidth="1"/>
    <col min="1285" max="1285" width="8.7109375" style="244" customWidth="1"/>
    <col min="1286" max="1286" width="8.421875" style="244" customWidth="1"/>
    <col min="1287" max="1287" width="9.00390625" style="244" customWidth="1"/>
    <col min="1288" max="1288" width="9.421875" style="244" customWidth="1"/>
    <col min="1289" max="1289" width="8.7109375" style="244" customWidth="1"/>
    <col min="1290" max="1290" width="9.421875" style="244" customWidth="1"/>
    <col min="1291" max="1536" width="8.7109375" style="244" customWidth="1"/>
    <col min="1537" max="1537" width="6.7109375" style="244" customWidth="1"/>
    <col min="1538" max="1538" width="16.7109375" style="244" customWidth="1"/>
    <col min="1539" max="1539" width="38.7109375" style="244" customWidth="1"/>
    <col min="1540" max="1540" width="6.00390625" style="244" customWidth="1"/>
    <col min="1541" max="1541" width="8.7109375" style="244" customWidth="1"/>
    <col min="1542" max="1542" width="8.421875" style="244" customWidth="1"/>
    <col min="1543" max="1543" width="9.00390625" style="244" customWidth="1"/>
    <col min="1544" max="1544" width="9.421875" style="244" customWidth="1"/>
    <col min="1545" max="1545" width="8.7109375" style="244" customWidth="1"/>
    <col min="1546" max="1546" width="9.421875" style="244" customWidth="1"/>
    <col min="1547" max="1792" width="8.7109375" style="244" customWidth="1"/>
    <col min="1793" max="1793" width="6.7109375" style="244" customWidth="1"/>
    <col min="1794" max="1794" width="16.7109375" style="244" customWidth="1"/>
    <col min="1795" max="1795" width="38.7109375" style="244" customWidth="1"/>
    <col min="1796" max="1796" width="6.00390625" style="244" customWidth="1"/>
    <col min="1797" max="1797" width="8.7109375" style="244" customWidth="1"/>
    <col min="1798" max="1798" width="8.421875" style="244" customWidth="1"/>
    <col min="1799" max="1799" width="9.00390625" style="244" customWidth="1"/>
    <col min="1800" max="1800" width="9.421875" style="244" customWidth="1"/>
    <col min="1801" max="1801" width="8.7109375" style="244" customWidth="1"/>
    <col min="1802" max="1802" width="9.421875" style="244" customWidth="1"/>
    <col min="1803" max="2048" width="8.7109375" style="244" customWidth="1"/>
    <col min="2049" max="2049" width="6.7109375" style="244" customWidth="1"/>
    <col min="2050" max="2050" width="16.7109375" style="244" customWidth="1"/>
    <col min="2051" max="2051" width="38.7109375" style="244" customWidth="1"/>
    <col min="2052" max="2052" width="6.00390625" style="244" customWidth="1"/>
    <col min="2053" max="2053" width="8.7109375" style="244" customWidth="1"/>
    <col min="2054" max="2054" width="8.421875" style="244" customWidth="1"/>
    <col min="2055" max="2055" width="9.00390625" style="244" customWidth="1"/>
    <col min="2056" max="2056" width="9.421875" style="244" customWidth="1"/>
    <col min="2057" max="2057" width="8.7109375" style="244" customWidth="1"/>
    <col min="2058" max="2058" width="9.421875" style="244" customWidth="1"/>
    <col min="2059" max="2304" width="8.7109375" style="244" customWidth="1"/>
    <col min="2305" max="2305" width="6.7109375" style="244" customWidth="1"/>
    <col min="2306" max="2306" width="16.7109375" style="244" customWidth="1"/>
    <col min="2307" max="2307" width="38.7109375" style="244" customWidth="1"/>
    <col min="2308" max="2308" width="6.00390625" style="244" customWidth="1"/>
    <col min="2309" max="2309" width="8.7109375" style="244" customWidth="1"/>
    <col min="2310" max="2310" width="8.421875" style="244" customWidth="1"/>
    <col min="2311" max="2311" width="9.00390625" style="244" customWidth="1"/>
    <col min="2312" max="2312" width="9.421875" style="244" customWidth="1"/>
    <col min="2313" max="2313" width="8.7109375" style="244" customWidth="1"/>
    <col min="2314" max="2314" width="9.421875" style="244" customWidth="1"/>
    <col min="2315" max="2560" width="8.7109375" style="244" customWidth="1"/>
    <col min="2561" max="2561" width="6.7109375" style="244" customWidth="1"/>
    <col min="2562" max="2562" width="16.7109375" style="244" customWidth="1"/>
    <col min="2563" max="2563" width="38.7109375" style="244" customWidth="1"/>
    <col min="2564" max="2564" width="6.00390625" style="244" customWidth="1"/>
    <col min="2565" max="2565" width="8.7109375" style="244" customWidth="1"/>
    <col min="2566" max="2566" width="8.421875" style="244" customWidth="1"/>
    <col min="2567" max="2567" width="9.00390625" style="244" customWidth="1"/>
    <col min="2568" max="2568" width="9.421875" style="244" customWidth="1"/>
    <col min="2569" max="2569" width="8.7109375" style="244" customWidth="1"/>
    <col min="2570" max="2570" width="9.421875" style="244" customWidth="1"/>
    <col min="2571" max="2816" width="8.7109375" style="244" customWidth="1"/>
    <col min="2817" max="2817" width="6.7109375" style="244" customWidth="1"/>
    <col min="2818" max="2818" width="16.7109375" style="244" customWidth="1"/>
    <col min="2819" max="2819" width="38.7109375" style="244" customWidth="1"/>
    <col min="2820" max="2820" width="6.00390625" style="244" customWidth="1"/>
    <col min="2821" max="2821" width="8.7109375" style="244" customWidth="1"/>
    <col min="2822" max="2822" width="8.421875" style="244" customWidth="1"/>
    <col min="2823" max="2823" width="9.00390625" style="244" customWidth="1"/>
    <col min="2824" max="2824" width="9.421875" style="244" customWidth="1"/>
    <col min="2825" max="2825" width="8.7109375" style="244" customWidth="1"/>
    <col min="2826" max="2826" width="9.421875" style="244" customWidth="1"/>
    <col min="2827" max="3072" width="8.7109375" style="244" customWidth="1"/>
    <col min="3073" max="3073" width="6.7109375" style="244" customWidth="1"/>
    <col min="3074" max="3074" width="16.7109375" style="244" customWidth="1"/>
    <col min="3075" max="3075" width="38.7109375" style="244" customWidth="1"/>
    <col min="3076" max="3076" width="6.00390625" style="244" customWidth="1"/>
    <col min="3077" max="3077" width="8.7109375" style="244" customWidth="1"/>
    <col min="3078" max="3078" width="8.421875" style="244" customWidth="1"/>
    <col min="3079" max="3079" width="9.00390625" style="244" customWidth="1"/>
    <col min="3080" max="3080" width="9.421875" style="244" customWidth="1"/>
    <col min="3081" max="3081" width="8.7109375" style="244" customWidth="1"/>
    <col min="3082" max="3082" width="9.421875" style="244" customWidth="1"/>
    <col min="3083" max="3328" width="8.7109375" style="244" customWidth="1"/>
    <col min="3329" max="3329" width="6.7109375" style="244" customWidth="1"/>
    <col min="3330" max="3330" width="16.7109375" style="244" customWidth="1"/>
    <col min="3331" max="3331" width="38.7109375" style="244" customWidth="1"/>
    <col min="3332" max="3332" width="6.00390625" style="244" customWidth="1"/>
    <col min="3333" max="3333" width="8.7109375" style="244" customWidth="1"/>
    <col min="3334" max="3334" width="8.421875" style="244" customWidth="1"/>
    <col min="3335" max="3335" width="9.00390625" style="244" customWidth="1"/>
    <col min="3336" max="3336" width="9.421875" style="244" customWidth="1"/>
    <col min="3337" max="3337" width="8.7109375" style="244" customWidth="1"/>
    <col min="3338" max="3338" width="9.421875" style="244" customWidth="1"/>
    <col min="3339" max="3584" width="8.7109375" style="244" customWidth="1"/>
    <col min="3585" max="3585" width="6.7109375" style="244" customWidth="1"/>
    <col min="3586" max="3586" width="16.7109375" style="244" customWidth="1"/>
    <col min="3587" max="3587" width="38.7109375" style="244" customWidth="1"/>
    <col min="3588" max="3588" width="6.00390625" style="244" customWidth="1"/>
    <col min="3589" max="3589" width="8.7109375" style="244" customWidth="1"/>
    <col min="3590" max="3590" width="8.421875" style="244" customWidth="1"/>
    <col min="3591" max="3591" width="9.00390625" style="244" customWidth="1"/>
    <col min="3592" max="3592" width="9.421875" style="244" customWidth="1"/>
    <col min="3593" max="3593" width="8.7109375" style="244" customWidth="1"/>
    <col min="3594" max="3594" width="9.421875" style="244" customWidth="1"/>
    <col min="3595" max="3840" width="8.7109375" style="244" customWidth="1"/>
    <col min="3841" max="3841" width="6.7109375" style="244" customWidth="1"/>
    <col min="3842" max="3842" width="16.7109375" style="244" customWidth="1"/>
    <col min="3843" max="3843" width="38.7109375" style="244" customWidth="1"/>
    <col min="3844" max="3844" width="6.00390625" style="244" customWidth="1"/>
    <col min="3845" max="3845" width="8.7109375" style="244" customWidth="1"/>
    <col min="3846" max="3846" width="8.421875" style="244" customWidth="1"/>
    <col min="3847" max="3847" width="9.00390625" style="244" customWidth="1"/>
    <col min="3848" max="3848" width="9.421875" style="244" customWidth="1"/>
    <col min="3849" max="3849" width="8.7109375" style="244" customWidth="1"/>
    <col min="3850" max="3850" width="9.421875" style="244" customWidth="1"/>
    <col min="3851" max="4096" width="8.7109375" style="244" customWidth="1"/>
    <col min="4097" max="4097" width="6.7109375" style="244" customWidth="1"/>
    <col min="4098" max="4098" width="16.7109375" style="244" customWidth="1"/>
    <col min="4099" max="4099" width="38.7109375" style="244" customWidth="1"/>
    <col min="4100" max="4100" width="6.00390625" style="244" customWidth="1"/>
    <col min="4101" max="4101" width="8.7109375" style="244" customWidth="1"/>
    <col min="4102" max="4102" width="8.421875" style="244" customWidth="1"/>
    <col min="4103" max="4103" width="9.00390625" style="244" customWidth="1"/>
    <col min="4104" max="4104" width="9.421875" style="244" customWidth="1"/>
    <col min="4105" max="4105" width="8.7109375" style="244" customWidth="1"/>
    <col min="4106" max="4106" width="9.421875" style="244" customWidth="1"/>
    <col min="4107" max="4352" width="8.7109375" style="244" customWidth="1"/>
    <col min="4353" max="4353" width="6.7109375" style="244" customWidth="1"/>
    <col min="4354" max="4354" width="16.7109375" style="244" customWidth="1"/>
    <col min="4355" max="4355" width="38.7109375" style="244" customWidth="1"/>
    <col min="4356" max="4356" width="6.00390625" style="244" customWidth="1"/>
    <col min="4357" max="4357" width="8.7109375" style="244" customWidth="1"/>
    <col min="4358" max="4358" width="8.421875" style="244" customWidth="1"/>
    <col min="4359" max="4359" width="9.00390625" style="244" customWidth="1"/>
    <col min="4360" max="4360" width="9.421875" style="244" customWidth="1"/>
    <col min="4361" max="4361" width="8.7109375" style="244" customWidth="1"/>
    <col min="4362" max="4362" width="9.421875" style="244" customWidth="1"/>
    <col min="4363" max="4608" width="8.7109375" style="244" customWidth="1"/>
    <col min="4609" max="4609" width="6.7109375" style="244" customWidth="1"/>
    <col min="4610" max="4610" width="16.7109375" style="244" customWidth="1"/>
    <col min="4611" max="4611" width="38.7109375" style="244" customWidth="1"/>
    <col min="4612" max="4612" width="6.00390625" style="244" customWidth="1"/>
    <col min="4613" max="4613" width="8.7109375" style="244" customWidth="1"/>
    <col min="4614" max="4614" width="8.421875" style="244" customWidth="1"/>
    <col min="4615" max="4615" width="9.00390625" style="244" customWidth="1"/>
    <col min="4616" max="4616" width="9.421875" style="244" customWidth="1"/>
    <col min="4617" max="4617" width="8.7109375" style="244" customWidth="1"/>
    <col min="4618" max="4618" width="9.421875" style="244" customWidth="1"/>
    <col min="4619" max="4864" width="8.7109375" style="244" customWidth="1"/>
    <col min="4865" max="4865" width="6.7109375" style="244" customWidth="1"/>
    <col min="4866" max="4866" width="16.7109375" style="244" customWidth="1"/>
    <col min="4867" max="4867" width="38.7109375" style="244" customWidth="1"/>
    <col min="4868" max="4868" width="6.00390625" style="244" customWidth="1"/>
    <col min="4869" max="4869" width="8.7109375" style="244" customWidth="1"/>
    <col min="4870" max="4870" width="8.421875" style="244" customWidth="1"/>
    <col min="4871" max="4871" width="9.00390625" style="244" customWidth="1"/>
    <col min="4872" max="4872" width="9.421875" style="244" customWidth="1"/>
    <col min="4873" max="4873" width="8.7109375" style="244" customWidth="1"/>
    <col min="4874" max="4874" width="9.421875" style="244" customWidth="1"/>
    <col min="4875" max="5120" width="8.7109375" style="244" customWidth="1"/>
    <col min="5121" max="5121" width="6.7109375" style="244" customWidth="1"/>
    <col min="5122" max="5122" width="16.7109375" style="244" customWidth="1"/>
    <col min="5123" max="5123" width="38.7109375" style="244" customWidth="1"/>
    <col min="5124" max="5124" width="6.00390625" style="244" customWidth="1"/>
    <col min="5125" max="5125" width="8.7109375" style="244" customWidth="1"/>
    <col min="5126" max="5126" width="8.421875" style="244" customWidth="1"/>
    <col min="5127" max="5127" width="9.00390625" style="244" customWidth="1"/>
    <col min="5128" max="5128" width="9.421875" style="244" customWidth="1"/>
    <col min="5129" max="5129" width="8.7109375" style="244" customWidth="1"/>
    <col min="5130" max="5130" width="9.421875" style="244" customWidth="1"/>
    <col min="5131" max="5376" width="8.7109375" style="244" customWidth="1"/>
    <col min="5377" max="5377" width="6.7109375" style="244" customWidth="1"/>
    <col min="5378" max="5378" width="16.7109375" style="244" customWidth="1"/>
    <col min="5379" max="5379" width="38.7109375" style="244" customWidth="1"/>
    <col min="5380" max="5380" width="6.00390625" style="244" customWidth="1"/>
    <col min="5381" max="5381" width="8.7109375" style="244" customWidth="1"/>
    <col min="5382" max="5382" width="8.421875" style="244" customWidth="1"/>
    <col min="5383" max="5383" width="9.00390625" style="244" customWidth="1"/>
    <col min="5384" max="5384" width="9.421875" style="244" customWidth="1"/>
    <col min="5385" max="5385" width="8.7109375" style="244" customWidth="1"/>
    <col min="5386" max="5386" width="9.421875" style="244" customWidth="1"/>
    <col min="5387" max="5632" width="8.7109375" style="244" customWidth="1"/>
    <col min="5633" max="5633" width="6.7109375" style="244" customWidth="1"/>
    <col min="5634" max="5634" width="16.7109375" style="244" customWidth="1"/>
    <col min="5635" max="5635" width="38.7109375" style="244" customWidth="1"/>
    <col min="5636" max="5636" width="6.00390625" style="244" customWidth="1"/>
    <col min="5637" max="5637" width="8.7109375" style="244" customWidth="1"/>
    <col min="5638" max="5638" width="8.421875" style="244" customWidth="1"/>
    <col min="5639" max="5639" width="9.00390625" style="244" customWidth="1"/>
    <col min="5640" max="5640" width="9.421875" style="244" customWidth="1"/>
    <col min="5641" max="5641" width="8.7109375" style="244" customWidth="1"/>
    <col min="5642" max="5642" width="9.421875" style="244" customWidth="1"/>
    <col min="5643" max="5888" width="8.7109375" style="244" customWidth="1"/>
    <col min="5889" max="5889" width="6.7109375" style="244" customWidth="1"/>
    <col min="5890" max="5890" width="16.7109375" style="244" customWidth="1"/>
    <col min="5891" max="5891" width="38.7109375" style="244" customWidth="1"/>
    <col min="5892" max="5892" width="6.00390625" style="244" customWidth="1"/>
    <col min="5893" max="5893" width="8.7109375" style="244" customWidth="1"/>
    <col min="5894" max="5894" width="8.421875" style="244" customWidth="1"/>
    <col min="5895" max="5895" width="9.00390625" style="244" customWidth="1"/>
    <col min="5896" max="5896" width="9.421875" style="244" customWidth="1"/>
    <col min="5897" max="5897" width="8.7109375" style="244" customWidth="1"/>
    <col min="5898" max="5898" width="9.421875" style="244" customWidth="1"/>
    <col min="5899" max="6144" width="8.7109375" style="244" customWidth="1"/>
    <col min="6145" max="6145" width="6.7109375" style="244" customWidth="1"/>
    <col min="6146" max="6146" width="16.7109375" style="244" customWidth="1"/>
    <col min="6147" max="6147" width="38.7109375" style="244" customWidth="1"/>
    <col min="6148" max="6148" width="6.00390625" style="244" customWidth="1"/>
    <col min="6149" max="6149" width="8.7109375" style="244" customWidth="1"/>
    <col min="6150" max="6150" width="8.421875" style="244" customWidth="1"/>
    <col min="6151" max="6151" width="9.00390625" style="244" customWidth="1"/>
    <col min="6152" max="6152" width="9.421875" style="244" customWidth="1"/>
    <col min="6153" max="6153" width="8.7109375" style="244" customWidth="1"/>
    <col min="6154" max="6154" width="9.421875" style="244" customWidth="1"/>
    <col min="6155" max="6400" width="8.7109375" style="244" customWidth="1"/>
    <col min="6401" max="6401" width="6.7109375" style="244" customWidth="1"/>
    <col min="6402" max="6402" width="16.7109375" style="244" customWidth="1"/>
    <col min="6403" max="6403" width="38.7109375" style="244" customWidth="1"/>
    <col min="6404" max="6404" width="6.00390625" style="244" customWidth="1"/>
    <col min="6405" max="6405" width="8.7109375" style="244" customWidth="1"/>
    <col min="6406" max="6406" width="8.421875" style="244" customWidth="1"/>
    <col min="6407" max="6407" width="9.00390625" style="244" customWidth="1"/>
    <col min="6408" max="6408" width="9.421875" style="244" customWidth="1"/>
    <col min="6409" max="6409" width="8.7109375" style="244" customWidth="1"/>
    <col min="6410" max="6410" width="9.421875" style="244" customWidth="1"/>
    <col min="6411" max="6656" width="8.7109375" style="244" customWidth="1"/>
    <col min="6657" max="6657" width="6.7109375" style="244" customWidth="1"/>
    <col min="6658" max="6658" width="16.7109375" style="244" customWidth="1"/>
    <col min="6659" max="6659" width="38.7109375" style="244" customWidth="1"/>
    <col min="6660" max="6660" width="6.00390625" style="244" customWidth="1"/>
    <col min="6661" max="6661" width="8.7109375" style="244" customWidth="1"/>
    <col min="6662" max="6662" width="8.421875" style="244" customWidth="1"/>
    <col min="6663" max="6663" width="9.00390625" style="244" customWidth="1"/>
    <col min="6664" max="6664" width="9.421875" style="244" customWidth="1"/>
    <col min="6665" max="6665" width="8.7109375" style="244" customWidth="1"/>
    <col min="6666" max="6666" width="9.421875" style="244" customWidth="1"/>
    <col min="6667" max="6912" width="8.7109375" style="244" customWidth="1"/>
    <col min="6913" max="6913" width="6.7109375" style="244" customWidth="1"/>
    <col min="6914" max="6914" width="16.7109375" style="244" customWidth="1"/>
    <col min="6915" max="6915" width="38.7109375" style="244" customWidth="1"/>
    <col min="6916" max="6916" width="6.00390625" style="244" customWidth="1"/>
    <col min="6917" max="6917" width="8.7109375" style="244" customWidth="1"/>
    <col min="6918" max="6918" width="8.421875" style="244" customWidth="1"/>
    <col min="6919" max="6919" width="9.00390625" style="244" customWidth="1"/>
    <col min="6920" max="6920" width="9.421875" style="244" customWidth="1"/>
    <col min="6921" max="6921" width="8.7109375" style="244" customWidth="1"/>
    <col min="6922" max="6922" width="9.421875" style="244" customWidth="1"/>
    <col min="6923" max="7168" width="8.7109375" style="244" customWidth="1"/>
    <col min="7169" max="7169" width="6.7109375" style="244" customWidth="1"/>
    <col min="7170" max="7170" width="16.7109375" style="244" customWidth="1"/>
    <col min="7171" max="7171" width="38.7109375" style="244" customWidth="1"/>
    <col min="7172" max="7172" width="6.00390625" style="244" customWidth="1"/>
    <col min="7173" max="7173" width="8.7109375" style="244" customWidth="1"/>
    <col min="7174" max="7174" width="8.421875" style="244" customWidth="1"/>
    <col min="7175" max="7175" width="9.00390625" style="244" customWidth="1"/>
    <col min="7176" max="7176" width="9.421875" style="244" customWidth="1"/>
    <col min="7177" max="7177" width="8.7109375" style="244" customWidth="1"/>
    <col min="7178" max="7178" width="9.421875" style="244" customWidth="1"/>
    <col min="7179" max="7424" width="8.7109375" style="244" customWidth="1"/>
    <col min="7425" max="7425" width="6.7109375" style="244" customWidth="1"/>
    <col min="7426" max="7426" width="16.7109375" style="244" customWidth="1"/>
    <col min="7427" max="7427" width="38.7109375" style="244" customWidth="1"/>
    <col min="7428" max="7428" width="6.00390625" style="244" customWidth="1"/>
    <col min="7429" max="7429" width="8.7109375" style="244" customWidth="1"/>
    <col min="7430" max="7430" width="8.421875" style="244" customWidth="1"/>
    <col min="7431" max="7431" width="9.00390625" style="244" customWidth="1"/>
    <col min="7432" max="7432" width="9.421875" style="244" customWidth="1"/>
    <col min="7433" max="7433" width="8.7109375" style="244" customWidth="1"/>
    <col min="7434" max="7434" width="9.421875" style="244" customWidth="1"/>
    <col min="7435" max="7680" width="8.7109375" style="244" customWidth="1"/>
    <col min="7681" max="7681" width="6.7109375" style="244" customWidth="1"/>
    <col min="7682" max="7682" width="16.7109375" style="244" customWidth="1"/>
    <col min="7683" max="7683" width="38.7109375" style="244" customWidth="1"/>
    <col min="7684" max="7684" width="6.00390625" style="244" customWidth="1"/>
    <col min="7685" max="7685" width="8.7109375" style="244" customWidth="1"/>
    <col min="7686" max="7686" width="8.421875" style="244" customWidth="1"/>
    <col min="7687" max="7687" width="9.00390625" style="244" customWidth="1"/>
    <col min="7688" max="7688" width="9.421875" style="244" customWidth="1"/>
    <col min="7689" max="7689" width="8.7109375" style="244" customWidth="1"/>
    <col min="7690" max="7690" width="9.421875" style="244" customWidth="1"/>
    <col min="7691" max="7936" width="8.7109375" style="244" customWidth="1"/>
    <col min="7937" max="7937" width="6.7109375" style="244" customWidth="1"/>
    <col min="7938" max="7938" width="16.7109375" style="244" customWidth="1"/>
    <col min="7939" max="7939" width="38.7109375" style="244" customWidth="1"/>
    <col min="7940" max="7940" width="6.00390625" style="244" customWidth="1"/>
    <col min="7941" max="7941" width="8.7109375" style="244" customWidth="1"/>
    <col min="7942" max="7942" width="8.421875" style="244" customWidth="1"/>
    <col min="7943" max="7943" width="9.00390625" style="244" customWidth="1"/>
    <col min="7944" max="7944" width="9.421875" style="244" customWidth="1"/>
    <col min="7945" max="7945" width="8.7109375" style="244" customWidth="1"/>
    <col min="7946" max="7946" width="9.421875" style="244" customWidth="1"/>
    <col min="7947" max="8192" width="8.7109375" style="244" customWidth="1"/>
    <col min="8193" max="8193" width="6.7109375" style="244" customWidth="1"/>
    <col min="8194" max="8194" width="16.7109375" style="244" customWidth="1"/>
    <col min="8195" max="8195" width="38.7109375" style="244" customWidth="1"/>
    <col min="8196" max="8196" width="6.00390625" style="244" customWidth="1"/>
    <col min="8197" max="8197" width="8.7109375" style="244" customWidth="1"/>
    <col min="8198" max="8198" width="8.421875" style="244" customWidth="1"/>
    <col min="8199" max="8199" width="9.00390625" style="244" customWidth="1"/>
    <col min="8200" max="8200" width="9.421875" style="244" customWidth="1"/>
    <col min="8201" max="8201" width="8.7109375" style="244" customWidth="1"/>
    <col min="8202" max="8202" width="9.421875" style="244" customWidth="1"/>
    <col min="8203" max="8448" width="8.7109375" style="244" customWidth="1"/>
    <col min="8449" max="8449" width="6.7109375" style="244" customWidth="1"/>
    <col min="8450" max="8450" width="16.7109375" style="244" customWidth="1"/>
    <col min="8451" max="8451" width="38.7109375" style="244" customWidth="1"/>
    <col min="8452" max="8452" width="6.00390625" style="244" customWidth="1"/>
    <col min="8453" max="8453" width="8.7109375" style="244" customWidth="1"/>
    <col min="8454" max="8454" width="8.421875" style="244" customWidth="1"/>
    <col min="8455" max="8455" width="9.00390625" style="244" customWidth="1"/>
    <col min="8456" max="8456" width="9.421875" style="244" customWidth="1"/>
    <col min="8457" max="8457" width="8.7109375" style="244" customWidth="1"/>
    <col min="8458" max="8458" width="9.421875" style="244" customWidth="1"/>
    <col min="8459" max="8704" width="8.7109375" style="244" customWidth="1"/>
    <col min="8705" max="8705" width="6.7109375" style="244" customWidth="1"/>
    <col min="8706" max="8706" width="16.7109375" style="244" customWidth="1"/>
    <col min="8707" max="8707" width="38.7109375" style="244" customWidth="1"/>
    <col min="8708" max="8708" width="6.00390625" style="244" customWidth="1"/>
    <col min="8709" max="8709" width="8.7109375" style="244" customWidth="1"/>
    <col min="8710" max="8710" width="8.421875" style="244" customWidth="1"/>
    <col min="8711" max="8711" width="9.00390625" style="244" customWidth="1"/>
    <col min="8712" max="8712" width="9.421875" style="244" customWidth="1"/>
    <col min="8713" max="8713" width="8.7109375" style="244" customWidth="1"/>
    <col min="8714" max="8714" width="9.421875" style="244" customWidth="1"/>
    <col min="8715" max="8960" width="8.7109375" style="244" customWidth="1"/>
    <col min="8961" max="8961" width="6.7109375" style="244" customWidth="1"/>
    <col min="8962" max="8962" width="16.7109375" style="244" customWidth="1"/>
    <col min="8963" max="8963" width="38.7109375" style="244" customWidth="1"/>
    <col min="8964" max="8964" width="6.00390625" style="244" customWidth="1"/>
    <col min="8965" max="8965" width="8.7109375" style="244" customWidth="1"/>
    <col min="8966" max="8966" width="8.421875" style="244" customWidth="1"/>
    <col min="8967" max="8967" width="9.00390625" style="244" customWidth="1"/>
    <col min="8968" max="8968" width="9.421875" style="244" customWidth="1"/>
    <col min="8969" max="8969" width="8.7109375" style="244" customWidth="1"/>
    <col min="8970" max="8970" width="9.421875" style="244" customWidth="1"/>
    <col min="8971" max="9216" width="8.7109375" style="244" customWidth="1"/>
    <col min="9217" max="9217" width="6.7109375" style="244" customWidth="1"/>
    <col min="9218" max="9218" width="16.7109375" style="244" customWidth="1"/>
    <col min="9219" max="9219" width="38.7109375" style="244" customWidth="1"/>
    <col min="9220" max="9220" width="6.00390625" style="244" customWidth="1"/>
    <col min="9221" max="9221" width="8.7109375" style="244" customWidth="1"/>
    <col min="9222" max="9222" width="8.421875" style="244" customWidth="1"/>
    <col min="9223" max="9223" width="9.00390625" style="244" customWidth="1"/>
    <col min="9224" max="9224" width="9.421875" style="244" customWidth="1"/>
    <col min="9225" max="9225" width="8.7109375" style="244" customWidth="1"/>
    <col min="9226" max="9226" width="9.421875" style="244" customWidth="1"/>
    <col min="9227" max="9472" width="8.7109375" style="244" customWidth="1"/>
    <col min="9473" max="9473" width="6.7109375" style="244" customWidth="1"/>
    <col min="9474" max="9474" width="16.7109375" style="244" customWidth="1"/>
    <col min="9475" max="9475" width="38.7109375" style="244" customWidth="1"/>
    <col min="9476" max="9476" width="6.00390625" style="244" customWidth="1"/>
    <col min="9477" max="9477" width="8.7109375" style="244" customWidth="1"/>
    <col min="9478" max="9478" width="8.421875" style="244" customWidth="1"/>
    <col min="9479" max="9479" width="9.00390625" style="244" customWidth="1"/>
    <col min="9480" max="9480" width="9.421875" style="244" customWidth="1"/>
    <col min="9481" max="9481" width="8.7109375" style="244" customWidth="1"/>
    <col min="9482" max="9482" width="9.421875" style="244" customWidth="1"/>
    <col min="9483" max="9728" width="8.7109375" style="244" customWidth="1"/>
    <col min="9729" max="9729" width="6.7109375" style="244" customWidth="1"/>
    <col min="9730" max="9730" width="16.7109375" style="244" customWidth="1"/>
    <col min="9731" max="9731" width="38.7109375" style="244" customWidth="1"/>
    <col min="9732" max="9732" width="6.00390625" style="244" customWidth="1"/>
    <col min="9733" max="9733" width="8.7109375" style="244" customWidth="1"/>
    <col min="9734" max="9734" width="8.421875" style="244" customWidth="1"/>
    <col min="9735" max="9735" width="9.00390625" style="244" customWidth="1"/>
    <col min="9736" max="9736" width="9.421875" style="244" customWidth="1"/>
    <col min="9737" max="9737" width="8.7109375" style="244" customWidth="1"/>
    <col min="9738" max="9738" width="9.421875" style="244" customWidth="1"/>
    <col min="9739" max="9984" width="8.7109375" style="244" customWidth="1"/>
    <col min="9985" max="9985" width="6.7109375" style="244" customWidth="1"/>
    <col min="9986" max="9986" width="16.7109375" style="244" customWidth="1"/>
    <col min="9987" max="9987" width="38.7109375" style="244" customWidth="1"/>
    <col min="9988" max="9988" width="6.00390625" style="244" customWidth="1"/>
    <col min="9989" max="9989" width="8.7109375" style="244" customWidth="1"/>
    <col min="9990" max="9990" width="8.421875" style="244" customWidth="1"/>
    <col min="9991" max="9991" width="9.00390625" style="244" customWidth="1"/>
    <col min="9992" max="9992" width="9.421875" style="244" customWidth="1"/>
    <col min="9993" max="9993" width="8.7109375" style="244" customWidth="1"/>
    <col min="9994" max="9994" width="9.421875" style="244" customWidth="1"/>
    <col min="9995" max="10240" width="8.7109375" style="244" customWidth="1"/>
    <col min="10241" max="10241" width="6.7109375" style="244" customWidth="1"/>
    <col min="10242" max="10242" width="16.7109375" style="244" customWidth="1"/>
    <col min="10243" max="10243" width="38.7109375" style="244" customWidth="1"/>
    <col min="10244" max="10244" width="6.00390625" style="244" customWidth="1"/>
    <col min="10245" max="10245" width="8.7109375" style="244" customWidth="1"/>
    <col min="10246" max="10246" width="8.421875" style="244" customWidth="1"/>
    <col min="10247" max="10247" width="9.00390625" style="244" customWidth="1"/>
    <col min="10248" max="10248" width="9.421875" style="244" customWidth="1"/>
    <col min="10249" max="10249" width="8.7109375" style="244" customWidth="1"/>
    <col min="10250" max="10250" width="9.421875" style="244" customWidth="1"/>
    <col min="10251" max="10496" width="8.7109375" style="244" customWidth="1"/>
    <col min="10497" max="10497" width="6.7109375" style="244" customWidth="1"/>
    <col min="10498" max="10498" width="16.7109375" style="244" customWidth="1"/>
    <col min="10499" max="10499" width="38.7109375" style="244" customWidth="1"/>
    <col min="10500" max="10500" width="6.00390625" style="244" customWidth="1"/>
    <col min="10501" max="10501" width="8.7109375" style="244" customWidth="1"/>
    <col min="10502" max="10502" width="8.421875" style="244" customWidth="1"/>
    <col min="10503" max="10503" width="9.00390625" style="244" customWidth="1"/>
    <col min="10504" max="10504" width="9.421875" style="244" customWidth="1"/>
    <col min="10505" max="10505" width="8.7109375" style="244" customWidth="1"/>
    <col min="10506" max="10506" width="9.421875" style="244" customWidth="1"/>
    <col min="10507" max="10752" width="8.7109375" style="244" customWidth="1"/>
    <col min="10753" max="10753" width="6.7109375" style="244" customWidth="1"/>
    <col min="10754" max="10754" width="16.7109375" style="244" customWidth="1"/>
    <col min="10755" max="10755" width="38.7109375" style="244" customWidth="1"/>
    <col min="10756" max="10756" width="6.00390625" style="244" customWidth="1"/>
    <col min="10757" max="10757" width="8.7109375" style="244" customWidth="1"/>
    <col min="10758" max="10758" width="8.421875" style="244" customWidth="1"/>
    <col min="10759" max="10759" width="9.00390625" style="244" customWidth="1"/>
    <col min="10760" max="10760" width="9.421875" style="244" customWidth="1"/>
    <col min="10761" max="10761" width="8.7109375" style="244" customWidth="1"/>
    <col min="10762" max="10762" width="9.421875" style="244" customWidth="1"/>
    <col min="10763" max="11008" width="8.7109375" style="244" customWidth="1"/>
    <col min="11009" max="11009" width="6.7109375" style="244" customWidth="1"/>
    <col min="11010" max="11010" width="16.7109375" style="244" customWidth="1"/>
    <col min="11011" max="11011" width="38.7109375" style="244" customWidth="1"/>
    <col min="11012" max="11012" width="6.00390625" style="244" customWidth="1"/>
    <col min="11013" max="11013" width="8.7109375" style="244" customWidth="1"/>
    <col min="11014" max="11014" width="8.421875" style="244" customWidth="1"/>
    <col min="11015" max="11015" width="9.00390625" style="244" customWidth="1"/>
    <col min="11016" max="11016" width="9.421875" style="244" customWidth="1"/>
    <col min="11017" max="11017" width="8.7109375" style="244" customWidth="1"/>
    <col min="11018" max="11018" width="9.421875" style="244" customWidth="1"/>
    <col min="11019" max="11264" width="8.7109375" style="244" customWidth="1"/>
    <col min="11265" max="11265" width="6.7109375" style="244" customWidth="1"/>
    <col min="11266" max="11266" width="16.7109375" style="244" customWidth="1"/>
    <col min="11267" max="11267" width="38.7109375" style="244" customWidth="1"/>
    <col min="11268" max="11268" width="6.00390625" style="244" customWidth="1"/>
    <col min="11269" max="11269" width="8.7109375" style="244" customWidth="1"/>
    <col min="11270" max="11270" width="8.421875" style="244" customWidth="1"/>
    <col min="11271" max="11271" width="9.00390625" style="244" customWidth="1"/>
    <col min="11272" max="11272" width="9.421875" style="244" customWidth="1"/>
    <col min="11273" max="11273" width="8.7109375" style="244" customWidth="1"/>
    <col min="11274" max="11274" width="9.421875" style="244" customWidth="1"/>
    <col min="11275" max="11520" width="8.7109375" style="244" customWidth="1"/>
    <col min="11521" max="11521" width="6.7109375" style="244" customWidth="1"/>
    <col min="11522" max="11522" width="16.7109375" style="244" customWidth="1"/>
    <col min="11523" max="11523" width="38.7109375" style="244" customWidth="1"/>
    <col min="11524" max="11524" width="6.00390625" style="244" customWidth="1"/>
    <col min="11525" max="11525" width="8.7109375" style="244" customWidth="1"/>
    <col min="11526" max="11526" width="8.421875" style="244" customWidth="1"/>
    <col min="11527" max="11527" width="9.00390625" style="244" customWidth="1"/>
    <col min="11528" max="11528" width="9.421875" style="244" customWidth="1"/>
    <col min="11529" max="11529" width="8.7109375" style="244" customWidth="1"/>
    <col min="11530" max="11530" width="9.421875" style="244" customWidth="1"/>
    <col min="11531" max="11776" width="8.7109375" style="244" customWidth="1"/>
    <col min="11777" max="11777" width="6.7109375" style="244" customWidth="1"/>
    <col min="11778" max="11778" width="16.7109375" style="244" customWidth="1"/>
    <col min="11779" max="11779" width="38.7109375" style="244" customWidth="1"/>
    <col min="11780" max="11780" width="6.00390625" style="244" customWidth="1"/>
    <col min="11781" max="11781" width="8.7109375" style="244" customWidth="1"/>
    <col min="11782" max="11782" width="8.421875" style="244" customWidth="1"/>
    <col min="11783" max="11783" width="9.00390625" style="244" customWidth="1"/>
    <col min="11784" max="11784" width="9.421875" style="244" customWidth="1"/>
    <col min="11785" max="11785" width="8.7109375" style="244" customWidth="1"/>
    <col min="11786" max="11786" width="9.421875" style="244" customWidth="1"/>
    <col min="11787" max="12032" width="8.7109375" style="244" customWidth="1"/>
    <col min="12033" max="12033" width="6.7109375" style="244" customWidth="1"/>
    <col min="12034" max="12034" width="16.7109375" style="244" customWidth="1"/>
    <col min="12035" max="12035" width="38.7109375" style="244" customWidth="1"/>
    <col min="12036" max="12036" width="6.00390625" style="244" customWidth="1"/>
    <col min="12037" max="12037" width="8.7109375" style="244" customWidth="1"/>
    <col min="12038" max="12038" width="8.421875" style="244" customWidth="1"/>
    <col min="12039" max="12039" width="9.00390625" style="244" customWidth="1"/>
    <col min="12040" max="12040" width="9.421875" style="244" customWidth="1"/>
    <col min="12041" max="12041" width="8.7109375" style="244" customWidth="1"/>
    <col min="12042" max="12042" width="9.421875" style="244" customWidth="1"/>
    <col min="12043" max="12288" width="8.7109375" style="244" customWidth="1"/>
    <col min="12289" max="12289" width="6.7109375" style="244" customWidth="1"/>
    <col min="12290" max="12290" width="16.7109375" style="244" customWidth="1"/>
    <col min="12291" max="12291" width="38.7109375" style="244" customWidth="1"/>
    <col min="12292" max="12292" width="6.00390625" style="244" customWidth="1"/>
    <col min="12293" max="12293" width="8.7109375" style="244" customWidth="1"/>
    <col min="12294" max="12294" width="8.421875" style="244" customWidth="1"/>
    <col min="12295" max="12295" width="9.00390625" style="244" customWidth="1"/>
    <col min="12296" max="12296" width="9.421875" style="244" customWidth="1"/>
    <col min="12297" max="12297" width="8.7109375" style="244" customWidth="1"/>
    <col min="12298" max="12298" width="9.421875" style="244" customWidth="1"/>
    <col min="12299" max="12544" width="8.7109375" style="244" customWidth="1"/>
    <col min="12545" max="12545" width="6.7109375" style="244" customWidth="1"/>
    <col min="12546" max="12546" width="16.7109375" style="244" customWidth="1"/>
    <col min="12547" max="12547" width="38.7109375" style="244" customWidth="1"/>
    <col min="12548" max="12548" width="6.00390625" style="244" customWidth="1"/>
    <col min="12549" max="12549" width="8.7109375" style="244" customWidth="1"/>
    <col min="12550" max="12550" width="8.421875" style="244" customWidth="1"/>
    <col min="12551" max="12551" width="9.00390625" style="244" customWidth="1"/>
    <col min="12552" max="12552" width="9.421875" style="244" customWidth="1"/>
    <col min="12553" max="12553" width="8.7109375" style="244" customWidth="1"/>
    <col min="12554" max="12554" width="9.421875" style="244" customWidth="1"/>
    <col min="12555" max="12800" width="8.7109375" style="244" customWidth="1"/>
    <col min="12801" max="12801" width="6.7109375" style="244" customWidth="1"/>
    <col min="12802" max="12802" width="16.7109375" style="244" customWidth="1"/>
    <col min="12803" max="12803" width="38.7109375" style="244" customWidth="1"/>
    <col min="12804" max="12804" width="6.00390625" style="244" customWidth="1"/>
    <col min="12805" max="12805" width="8.7109375" style="244" customWidth="1"/>
    <col min="12806" max="12806" width="8.421875" style="244" customWidth="1"/>
    <col min="12807" max="12807" width="9.00390625" style="244" customWidth="1"/>
    <col min="12808" max="12808" width="9.421875" style="244" customWidth="1"/>
    <col min="12809" max="12809" width="8.7109375" style="244" customWidth="1"/>
    <col min="12810" max="12810" width="9.421875" style="244" customWidth="1"/>
    <col min="12811" max="13056" width="8.7109375" style="244" customWidth="1"/>
    <col min="13057" max="13057" width="6.7109375" style="244" customWidth="1"/>
    <col min="13058" max="13058" width="16.7109375" style="244" customWidth="1"/>
    <col min="13059" max="13059" width="38.7109375" style="244" customWidth="1"/>
    <col min="13060" max="13060" width="6.00390625" style="244" customWidth="1"/>
    <col min="13061" max="13061" width="8.7109375" style="244" customWidth="1"/>
    <col min="13062" max="13062" width="8.421875" style="244" customWidth="1"/>
    <col min="13063" max="13063" width="9.00390625" style="244" customWidth="1"/>
    <col min="13064" max="13064" width="9.421875" style="244" customWidth="1"/>
    <col min="13065" max="13065" width="8.7109375" style="244" customWidth="1"/>
    <col min="13066" max="13066" width="9.421875" style="244" customWidth="1"/>
    <col min="13067" max="13312" width="8.7109375" style="244" customWidth="1"/>
    <col min="13313" max="13313" width="6.7109375" style="244" customWidth="1"/>
    <col min="13314" max="13314" width="16.7109375" style="244" customWidth="1"/>
    <col min="13315" max="13315" width="38.7109375" style="244" customWidth="1"/>
    <col min="13316" max="13316" width="6.00390625" style="244" customWidth="1"/>
    <col min="13317" max="13317" width="8.7109375" style="244" customWidth="1"/>
    <col min="13318" max="13318" width="8.421875" style="244" customWidth="1"/>
    <col min="13319" max="13319" width="9.00390625" style="244" customWidth="1"/>
    <col min="13320" max="13320" width="9.421875" style="244" customWidth="1"/>
    <col min="13321" max="13321" width="8.7109375" style="244" customWidth="1"/>
    <col min="13322" max="13322" width="9.421875" style="244" customWidth="1"/>
    <col min="13323" max="13568" width="8.7109375" style="244" customWidth="1"/>
    <col min="13569" max="13569" width="6.7109375" style="244" customWidth="1"/>
    <col min="13570" max="13570" width="16.7109375" style="244" customWidth="1"/>
    <col min="13571" max="13571" width="38.7109375" style="244" customWidth="1"/>
    <col min="13572" max="13572" width="6.00390625" style="244" customWidth="1"/>
    <col min="13573" max="13573" width="8.7109375" style="244" customWidth="1"/>
    <col min="13574" max="13574" width="8.421875" style="244" customWidth="1"/>
    <col min="13575" max="13575" width="9.00390625" style="244" customWidth="1"/>
    <col min="13576" max="13576" width="9.421875" style="244" customWidth="1"/>
    <col min="13577" max="13577" width="8.7109375" style="244" customWidth="1"/>
    <col min="13578" max="13578" width="9.421875" style="244" customWidth="1"/>
    <col min="13579" max="13824" width="8.7109375" style="244" customWidth="1"/>
    <col min="13825" max="13825" width="6.7109375" style="244" customWidth="1"/>
    <col min="13826" max="13826" width="16.7109375" style="244" customWidth="1"/>
    <col min="13827" max="13827" width="38.7109375" style="244" customWidth="1"/>
    <col min="13828" max="13828" width="6.00390625" style="244" customWidth="1"/>
    <col min="13829" max="13829" width="8.7109375" style="244" customWidth="1"/>
    <col min="13830" max="13830" width="8.421875" style="244" customWidth="1"/>
    <col min="13831" max="13831" width="9.00390625" style="244" customWidth="1"/>
    <col min="13832" max="13832" width="9.421875" style="244" customWidth="1"/>
    <col min="13833" max="13833" width="8.7109375" style="244" customWidth="1"/>
    <col min="13834" max="13834" width="9.421875" style="244" customWidth="1"/>
    <col min="13835" max="14080" width="8.7109375" style="244" customWidth="1"/>
    <col min="14081" max="14081" width="6.7109375" style="244" customWidth="1"/>
    <col min="14082" max="14082" width="16.7109375" style="244" customWidth="1"/>
    <col min="14083" max="14083" width="38.7109375" style="244" customWidth="1"/>
    <col min="14084" max="14084" width="6.00390625" style="244" customWidth="1"/>
    <col min="14085" max="14085" width="8.7109375" style="244" customWidth="1"/>
    <col min="14086" max="14086" width="8.421875" style="244" customWidth="1"/>
    <col min="14087" max="14087" width="9.00390625" style="244" customWidth="1"/>
    <col min="14088" max="14088" width="9.421875" style="244" customWidth="1"/>
    <col min="14089" max="14089" width="8.7109375" style="244" customWidth="1"/>
    <col min="14090" max="14090" width="9.421875" style="244" customWidth="1"/>
    <col min="14091" max="14336" width="8.7109375" style="244" customWidth="1"/>
    <col min="14337" max="14337" width="6.7109375" style="244" customWidth="1"/>
    <col min="14338" max="14338" width="16.7109375" style="244" customWidth="1"/>
    <col min="14339" max="14339" width="38.7109375" style="244" customWidth="1"/>
    <col min="14340" max="14340" width="6.00390625" style="244" customWidth="1"/>
    <col min="14341" max="14341" width="8.7109375" style="244" customWidth="1"/>
    <col min="14342" max="14342" width="8.421875" style="244" customWidth="1"/>
    <col min="14343" max="14343" width="9.00390625" style="244" customWidth="1"/>
    <col min="14344" max="14344" width="9.421875" style="244" customWidth="1"/>
    <col min="14345" max="14345" width="8.7109375" style="244" customWidth="1"/>
    <col min="14346" max="14346" width="9.421875" style="244" customWidth="1"/>
    <col min="14347" max="14592" width="8.7109375" style="244" customWidth="1"/>
    <col min="14593" max="14593" width="6.7109375" style="244" customWidth="1"/>
    <col min="14594" max="14594" width="16.7109375" style="244" customWidth="1"/>
    <col min="14595" max="14595" width="38.7109375" style="244" customWidth="1"/>
    <col min="14596" max="14596" width="6.00390625" style="244" customWidth="1"/>
    <col min="14597" max="14597" width="8.7109375" style="244" customWidth="1"/>
    <col min="14598" max="14598" width="8.421875" style="244" customWidth="1"/>
    <col min="14599" max="14599" width="9.00390625" style="244" customWidth="1"/>
    <col min="14600" max="14600" width="9.421875" style="244" customWidth="1"/>
    <col min="14601" max="14601" width="8.7109375" style="244" customWidth="1"/>
    <col min="14602" max="14602" width="9.421875" style="244" customWidth="1"/>
    <col min="14603" max="14848" width="8.7109375" style="244" customWidth="1"/>
    <col min="14849" max="14849" width="6.7109375" style="244" customWidth="1"/>
    <col min="14850" max="14850" width="16.7109375" style="244" customWidth="1"/>
    <col min="14851" max="14851" width="38.7109375" style="244" customWidth="1"/>
    <col min="14852" max="14852" width="6.00390625" style="244" customWidth="1"/>
    <col min="14853" max="14853" width="8.7109375" style="244" customWidth="1"/>
    <col min="14854" max="14854" width="8.421875" style="244" customWidth="1"/>
    <col min="14855" max="14855" width="9.00390625" style="244" customWidth="1"/>
    <col min="14856" max="14856" width="9.421875" style="244" customWidth="1"/>
    <col min="14857" max="14857" width="8.7109375" style="244" customWidth="1"/>
    <col min="14858" max="14858" width="9.421875" style="244" customWidth="1"/>
    <col min="14859" max="15104" width="8.7109375" style="244" customWidth="1"/>
    <col min="15105" max="15105" width="6.7109375" style="244" customWidth="1"/>
    <col min="15106" max="15106" width="16.7109375" style="244" customWidth="1"/>
    <col min="15107" max="15107" width="38.7109375" style="244" customWidth="1"/>
    <col min="15108" max="15108" width="6.00390625" style="244" customWidth="1"/>
    <col min="15109" max="15109" width="8.7109375" style="244" customWidth="1"/>
    <col min="15110" max="15110" width="8.421875" style="244" customWidth="1"/>
    <col min="15111" max="15111" width="9.00390625" style="244" customWidth="1"/>
    <col min="15112" max="15112" width="9.421875" style="244" customWidth="1"/>
    <col min="15113" max="15113" width="8.7109375" style="244" customWidth="1"/>
    <col min="15114" max="15114" width="9.421875" style="244" customWidth="1"/>
    <col min="15115" max="15360" width="8.7109375" style="244" customWidth="1"/>
    <col min="15361" max="15361" width="6.7109375" style="244" customWidth="1"/>
    <col min="15362" max="15362" width="16.7109375" style="244" customWidth="1"/>
    <col min="15363" max="15363" width="38.7109375" style="244" customWidth="1"/>
    <col min="15364" max="15364" width="6.00390625" style="244" customWidth="1"/>
    <col min="15365" max="15365" width="8.7109375" style="244" customWidth="1"/>
    <col min="15366" max="15366" width="8.421875" style="244" customWidth="1"/>
    <col min="15367" max="15367" width="9.00390625" style="244" customWidth="1"/>
    <col min="15368" max="15368" width="9.421875" style="244" customWidth="1"/>
    <col min="15369" max="15369" width="8.7109375" style="244" customWidth="1"/>
    <col min="15370" max="15370" width="9.421875" style="244" customWidth="1"/>
    <col min="15371" max="15616" width="8.7109375" style="244" customWidth="1"/>
    <col min="15617" max="15617" width="6.7109375" style="244" customWidth="1"/>
    <col min="15618" max="15618" width="16.7109375" style="244" customWidth="1"/>
    <col min="15619" max="15619" width="38.7109375" style="244" customWidth="1"/>
    <col min="15620" max="15620" width="6.00390625" style="244" customWidth="1"/>
    <col min="15621" max="15621" width="8.7109375" style="244" customWidth="1"/>
    <col min="15622" max="15622" width="8.421875" style="244" customWidth="1"/>
    <col min="15623" max="15623" width="9.00390625" style="244" customWidth="1"/>
    <col min="15624" max="15624" width="9.421875" style="244" customWidth="1"/>
    <col min="15625" max="15625" width="8.7109375" style="244" customWidth="1"/>
    <col min="15626" max="15626" width="9.421875" style="244" customWidth="1"/>
    <col min="15627" max="15872" width="8.7109375" style="244" customWidth="1"/>
    <col min="15873" max="15873" width="6.7109375" style="244" customWidth="1"/>
    <col min="15874" max="15874" width="16.7109375" style="244" customWidth="1"/>
    <col min="15875" max="15875" width="38.7109375" style="244" customWidth="1"/>
    <col min="15876" max="15876" width="6.00390625" style="244" customWidth="1"/>
    <col min="15877" max="15877" width="8.7109375" style="244" customWidth="1"/>
    <col min="15878" max="15878" width="8.421875" style="244" customWidth="1"/>
    <col min="15879" max="15879" width="9.00390625" style="244" customWidth="1"/>
    <col min="15880" max="15880" width="9.421875" style="244" customWidth="1"/>
    <col min="15881" max="15881" width="8.7109375" style="244" customWidth="1"/>
    <col min="15882" max="15882" width="9.421875" style="244" customWidth="1"/>
    <col min="15883" max="16128" width="8.7109375" style="244" customWidth="1"/>
    <col min="16129" max="16129" width="6.7109375" style="244" customWidth="1"/>
    <col min="16130" max="16130" width="16.7109375" style="244" customWidth="1"/>
    <col min="16131" max="16131" width="38.7109375" style="244" customWidth="1"/>
    <col min="16132" max="16132" width="6.00390625" style="244" customWidth="1"/>
    <col min="16133" max="16133" width="8.7109375" style="244" customWidth="1"/>
    <col min="16134" max="16134" width="8.421875" style="244" customWidth="1"/>
    <col min="16135" max="16135" width="9.00390625" style="244" customWidth="1"/>
    <col min="16136" max="16136" width="9.421875" style="244" customWidth="1"/>
    <col min="16137" max="16137" width="8.7109375" style="244" customWidth="1"/>
    <col min="16138" max="16138" width="9.421875" style="244" customWidth="1"/>
    <col min="16139" max="16384" width="8.7109375" style="244" customWidth="1"/>
  </cols>
  <sheetData>
    <row r="1" spans="1:10" ht="15">
      <c r="A1" s="243"/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5">
      <c r="A2" s="243" t="s">
        <v>1103</v>
      </c>
      <c r="B2" s="243" t="s">
        <v>1369</v>
      </c>
      <c r="C2" s="243" t="s">
        <v>1370</v>
      </c>
      <c r="D2" s="243"/>
      <c r="E2" s="243"/>
      <c r="F2" s="243" t="s">
        <v>1106</v>
      </c>
      <c r="G2" s="243" t="s">
        <v>1107</v>
      </c>
      <c r="H2" s="243" t="s">
        <v>1371</v>
      </c>
      <c r="I2" s="243"/>
      <c r="J2" s="243"/>
    </row>
    <row r="3" spans="1:10" ht="15">
      <c r="A3" s="243" t="s">
        <v>1103</v>
      </c>
      <c r="B3" s="243" t="s">
        <v>1372</v>
      </c>
      <c r="C3" s="243" t="s">
        <v>1373</v>
      </c>
      <c r="D3" s="243"/>
      <c r="E3" s="243"/>
      <c r="F3" s="243" t="s">
        <v>1111</v>
      </c>
      <c r="G3" s="243" t="s">
        <v>1112</v>
      </c>
      <c r="H3" s="243" t="s">
        <v>1190</v>
      </c>
      <c r="I3" s="243">
        <v>1</v>
      </c>
      <c r="J3" s="243"/>
    </row>
    <row r="4" spans="1:10" ht="15">
      <c r="A4" s="243"/>
      <c r="B4" s="243"/>
      <c r="C4" s="243"/>
      <c r="D4" s="243"/>
      <c r="E4" s="243"/>
      <c r="F4" s="243"/>
      <c r="G4" s="243"/>
      <c r="H4" s="243"/>
      <c r="I4" s="243"/>
      <c r="J4" s="243"/>
    </row>
    <row r="5" spans="1:10" ht="15">
      <c r="A5" s="243" t="s">
        <v>1191</v>
      </c>
      <c r="B5" s="243" t="s">
        <v>1114</v>
      </c>
      <c r="C5" s="243" t="s">
        <v>1115</v>
      </c>
      <c r="D5" s="243" t="s">
        <v>1116</v>
      </c>
      <c r="E5" s="243" t="s">
        <v>1117</v>
      </c>
      <c r="F5" s="243" t="s">
        <v>1374</v>
      </c>
      <c r="G5" s="243" t="s">
        <v>1375</v>
      </c>
      <c r="H5" s="243" t="s">
        <v>1376</v>
      </c>
      <c r="I5" s="243" t="s">
        <v>1374</v>
      </c>
      <c r="J5" s="243" t="s">
        <v>23</v>
      </c>
    </row>
    <row r="6" spans="1:10" ht="15">
      <c r="A6" s="243"/>
      <c r="B6" s="243"/>
      <c r="C6" s="243"/>
      <c r="D6" s="243"/>
      <c r="E6" s="243"/>
      <c r="F6" s="243"/>
      <c r="G6" s="243"/>
      <c r="H6" s="243"/>
      <c r="I6" s="243"/>
      <c r="J6" s="243"/>
    </row>
    <row r="7" spans="1:10" ht="15">
      <c r="A7" s="243" t="s">
        <v>1194</v>
      </c>
      <c r="B7" s="243" t="s">
        <v>1377</v>
      </c>
      <c r="C7" s="245" t="s">
        <v>1378</v>
      </c>
      <c r="D7" s="243"/>
      <c r="E7" s="243"/>
      <c r="F7" s="243"/>
      <c r="G7" s="243"/>
      <c r="H7" s="243"/>
      <c r="I7" s="243"/>
      <c r="J7" s="243"/>
    </row>
    <row r="8" spans="1:10" ht="15">
      <c r="A8" s="243"/>
      <c r="B8" s="243"/>
      <c r="C8" s="245"/>
      <c r="D8" s="243"/>
      <c r="E8" s="243"/>
      <c r="F8" s="243"/>
      <c r="G8" s="243"/>
      <c r="H8" s="243"/>
      <c r="I8" s="243"/>
      <c r="J8" s="243"/>
    </row>
    <row r="9" spans="1:10" ht="15">
      <c r="A9" s="243"/>
      <c r="B9" s="243" t="s">
        <v>1379</v>
      </c>
      <c r="C9" s="245" t="s">
        <v>1380</v>
      </c>
      <c r="D9" s="243"/>
      <c r="E9" s="243"/>
      <c r="F9" s="243"/>
      <c r="G9" s="243"/>
      <c r="H9" s="243"/>
      <c r="I9" s="243"/>
      <c r="J9" s="243"/>
    </row>
    <row r="10" spans="1:10" ht="15">
      <c r="A10" s="243">
        <v>1</v>
      </c>
      <c r="B10" s="243" t="s">
        <v>1381</v>
      </c>
      <c r="C10" s="245" t="s">
        <v>1382</v>
      </c>
      <c r="D10" s="243" t="s">
        <v>847</v>
      </c>
      <c r="E10" s="249">
        <v>46</v>
      </c>
      <c r="F10" s="418"/>
      <c r="G10" s="249">
        <f aca="true" t="shared" si="0" ref="G10:G42">E10*F10</f>
        <v>0</v>
      </c>
      <c r="H10" s="249"/>
      <c r="I10" s="249">
        <v>0.05</v>
      </c>
      <c r="J10" s="418"/>
    </row>
    <row r="11" spans="1:10" ht="15">
      <c r="A11" s="243">
        <v>2</v>
      </c>
      <c r="B11" s="243" t="s">
        <v>1383</v>
      </c>
      <c r="C11" s="245" t="s">
        <v>1384</v>
      </c>
      <c r="D11" s="243" t="s">
        <v>1136</v>
      </c>
      <c r="E11" s="249">
        <v>12</v>
      </c>
      <c r="F11" s="418"/>
      <c r="G11" s="249">
        <f t="shared" si="0"/>
        <v>0</v>
      </c>
      <c r="H11" s="249"/>
      <c r="I11" s="249">
        <v>0.01</v>
      </c>
      <c r="J11" s="418"/>
    </row>
    <row r="12" spans="1:10" ht="21">
      <c r="A12" s="243">
        <v>3</v>
      </c>
      <c r="B12" s="243" t="s">
        <v>1385</v>
      </c>
      <c r="C12" s="245" t="s">
        <v>1386</v>
      </c>
      <c r="D12" s="243" t="s">
        <v>1183</v>
      </c>
      <c r="E12" s="249">
        <v>0.48</v>
      </c>
      <c r="F12" s="418"/>
      <c r="G12" s="249">
        <f t="shared" si="0"/>
        <v>0</v>
      </c>
      <c r="H12" s="249"/>
      <c r="I12" s="249"/>
      <c r="J12" s="418"/>
    </row>
    <row r="13" spans="1:10" ht="15">
      <c r="A13" s="243">
        <v>4</v>
      </c>
      <c r="B13" s="243" t="s">
        <v>1387</v>
      </c>
      <c r="C13" s="245" t="s">
        <v>1388</v>
      </c>
      <c r="D13" s="243" t="s">
        <v>847</v>
      </c>
      <c r="E13" s="249">
        <v>52</v>
      </c>
      <c r="F13" s="418"/>
      <c r="G13" s="249">
        <f t="shared" si="0"/>
        <v>0</v>
      </c>
      <c r="H13" s="249"/>
      <c r="I13" s="249">
        <v>0.002</v>
      </c>
      <c r="J13" s="418"/>
    </row>
    <row r="14" spans="1:10" ht="15">
      <c r="A14" s="243">
        <v>5</v>
      </c>
      <c r="B14" s="243" t="s">
        <v>1389</v>
      </c>
      <c r="C14" s="245" t="s">
        <v>1390</v>
      </c>
      <c r="D14" s="243" t="s">
        <v>1129</v>
      </c>
      <c r="E14" s="250" t="s">
        <v>1391</v>
      </c>
      <c r="F14" s="418"/>
      <c r="G14" s="249">
        <f t="shared" si="0"/>
        <v>0</v>
      </c>
      <c r="H14" s="249"/>
      <c r="I14" s="249">
        <v>2.2</v>
      </c>
      <c r="J14" s="418"/>
    </row>
    <row r="15" spans="1:10" ht="15">
      <c r="A15" s="243">
        <v>6</v>
      </c>
      <c r="B15" s="243" t="s">
        <v>1392</v>
      </c>
      <c r="C15" s="245" t="s">
        <v>1393</v>
      </c>
      <c r="D15" s="243" t="s">
        <v>847</v>
      </c>
      <c r="E15" s="250">
        <v>26</v>
      </c>
      <c r="F15" s="418"/>
      <c r="G15" s="249">
        <f t="shared" si="0"/>
        <v>0</v>
      </c>
      <c r="H15" s="249"/>
      <c r="I15" s="249">
        <v>0.05</v>
      </c>
      <c r="J15" s="418"/>
    </row>
    <row r="16" spans="1:10" ht="15">
      <c r="A16" s="243">
        <v>7</v>
      </c>
      <c r="B16" s="243" t="s">
        <v>1394</v>
      </c>
      <c r="C16" s="245" t="s">
        <v>1395</v>
      </c>
      <c r="D16" s="243" t="s">
        <v>1129</v>
      </c>
      <c r="E16" s="250" t="s">
        <v>1396</v>
      </c>
      <c r="F16" s="418"/>
      <c r="G16" s="249">
        <f t="shared" si="0"/>
        <v>0</v>
      </c>
      <c r="H16" s="249"/>
      <c r="I16" s="249">
        <v>1.5</v>
      </c>
      <c r="J16" s="418"/>
    </row>
    <row r="17" spans="1:10" ht="15">
      <c r="A17" s="243">
        <v>8</v>
      </c>
      <c r="B17" s="243" t="s">
        <v>1397</v>
      </c>
      <c r="C17" s="245" t="s">
        <v>1398</v>
      </c>
      <c r="D17" s="243" t="s">
        <v>1129</v>
      </c>
      <c r="E17" s="250" t="s">
        <v>1396</v>
      </c>
      <c r="F17" s="418"/>
      <c r="G17" s="249">
        <f t="shared" si="0"/>
        <v>0</v>
      </c>
      <c r="H17" s="249"/>
      <c r="I17" s="249"/>
      <c r="J17" s="418"/>
    </row>
    <row r="18" spans="1:10" ht="15">
      <c r="A18" s="243">
        <v>9</v>
      </c>
      <c r="B18" s="243" t="s">
        <v>1399</v>
      </c>
      <c r="C18" s="245" t="s">
        <v>1400</v>
      </c>
      <c r="D18" s="243" t="s">
        <v>847</v>
      </c>
      <c r="E18" s="250">
        <v>11</v>
      </c>
      <c r="F18" s="418"/>
      <c r="G18" s="249">
        <f t="shared" si="0"/>
        <v>0</v>
      </c>
      <c r="H18" s="249"/>
      <c r="I18" s="249">
        <v>0.01</v>
      </c>
      <c r="J18" s="418"/>
    </row>
    <row r="19" spans="1:10" ht="15">
      <c r="A19" s="243">
        <v>10</v>
      </c>
      <c r="B19" s="243" t="s">
        <v>1401</v>
      </c>
      <c r="C19" s="245" t="s">
        <v>1402</v>
      </c>
      <c r="D19" s="243" t="s">
        <v>847</v>
      </c>
      <c r="E19" s="250">
        <v>15</v>
      </c>
      <c r="F19" s="418"/>
      <c r="G19" s="249">
        <f t="shared" si="0"/>
        <v>0</v>
      </c>
      <c r="H19" s="249"/>
      <c r="I19" s="249">
        <v>0.01</v>
      </c>
      <c r="J19" s="418"/>
    </row>
    <row r="20" spans="1:10" ht="21">
      <c r="A20" s="243">
        <v>11</v>
      </c>
      <c r="B20" s="243" t="s">
        <v>1403</v>
      </c>
      <c r="C20" s="245" t="s">
        <v>1404</v>
      </c>
      <c r="D20" s="243" t="s">
        <v>847</v>
      </c>
      <c r="E20" s="250">
        <v>4</v>
      </c>
      <c r="F20" s="418"/>
      <c r="G20" s="249">
        <f t="shared" si="0"/>
        <v>0</v>
      </c>
      <c r="H20" s="249"/>
      <c r="I20" s="249">
        <v>0.01</v>
      </c>
      <c r="J20" s="418"/>
    </row>
    <row r="21" spans="1:10" ht="15">
      <c r="A21" s="243">
        <v>12</v>
      </c>
      <c r="B21" s="243" t="s">
        <v>1405</v>
      </c>
      <c r="C21" s="245" t="s">
        <v>1406</v>
      </c>
      <c r="D21" s="243" t="s">
        <v>1129</v>
      </c>
      <c r="E21" s="250" t="s">
        <v>1396</v>
      </c>
      <c r="F21" s="418"/>
      <c r="G21" s="249">
        <f t="shared" si="0"/>
        <v>0</v>
      </c>
      <c r="H21" s="249"/>
      <c r="I21" s="249"/>
      <c r="J21" s="418"/>
    </row>
    <row r="22" spans="1:10" ht="15">
      <c r="A22" s="243">
        <v>13</v>
      </c>
      <c r="B22" s="243" t="s">
        <v>1407</v>
      </c>
      <c r="C22" s="245" t="s">
        <v>1408</v>
      </c>
      <c r="D22" s="243" t="s">
        <v>847</v>
      </c>
      <c r="E22" s="249">
        <v>7</v>
      </c>
      <c r="F22" s="418"/>
      <c r="G22" s="249">
        <f t="shared" si="0"/>
        <v>0</v>
      </c>
      <c r="H22" s="249"/>
      <c r="I22" s="249">
        <v>0.01187</v>
      </c>
      <c r="J22" s="418"/>
    </row>
    <row r="23" spans="1:10" ht="15">
      <c r="A23" s="243">
        <v>14</v>
      </c>
      <c r="B23" s="243" t="s">
        <v>1409</v>
      </c>
      <c r="C23" s="245" t="s">
        <v>1410</v>
      </c>
      <c r="D23" s="243" t="s">
        <v>847</v>
      </c>
      <c r="E23" s="249">
        <v>11</v>
      </c>
      <c r="F23" s="418"/>
      <c r="G23" s="249">
        <f t="shared" si="0"/>
        <v>0</v>
      </c>
      <c r="H23" s="249"/>
      <c r="I23" s="249">
        <v>0.01133</v>
      </c>
      <c r="J23" s="418"/>
    </row>
    <row r="24" spans="1:10" ht="15">
      <c r="A24" s="243">
        <v>15</v>
      </c>
      <c r="B24" s="243" t="s">
        <v>1411</v>
      </c>
      <c r="C24" s="245" t="s">
        <v>1412</v>
      </c>
      <c r="D24" s="243" t="s">
        <v>847</v>
      </c>
      <c r="E24" s="249">
        <v>12</v>
      </c>
      <c r="F24" s="418"/>
      <c r="G24" s="249">
        <f t="shared" si="0"/>
        <v>0</v>
      </c>
      <c r="H24" s="249"/>
      <c r="I24" s="249">
        <v>0.01</v>
      </c>
      <c r="J24" s="418"/>
    </row>
    <row r="25" spans="1:10" ht="15">
      <c r="A25" s="243">
        <v>16</v>
      </c>
      <c r="B25" s="243" t="s">
        <v>1413</v>
      </c>
      <c r="C25" s="245" t="s">
        <v>1414</v>
      </c>
      <c r="D25" s="243" t="s">
        <v>847</v>
      </c>
      <c r="E25" s="249">
        <v>41</v>
      </c>
      <c r="F25" s="418"/>
      <c r="G25" s="249">
        <f t="shared" si="0"/>
        <v>0</v>
      </c>
      <c r="H25" s="249"/>
      <c r="I25" s="249">
        <v>0.002</v>
      </c>
      <c r="J25" s="418"/>
    </row>
    <row r="26" spans="1:10" ht="15">
      <c r="A26" s="243">
        <v>17</v>
      </c>
      <c r="B26" s="243" t="s">
        <v>1415</v>
      </c>
      <c r="C26" s="245" t="s">
        <v>1416</v>
      </c>
      <c r="D26" s="243" t="s">
        <v>1136</v>
      </c>
      <c r="E26" s="249">
        <v>12</v>
      </c>
      <c r="F26" s="418"/>
      <c r="G26" s="249">
        <f t="shared" si="0"/>
        <v>0</v>
      </c>
      <c r="H26" s="249"/>
      <c r="I26" s="249">
        <v>0.001</v>
      </c>
      <c r="J26" s="418"/>
    </row>
    <row r="27" spans="1:10" ht="15">
      <c r="A27" s="243">
        <v>18</v>
      </c>
      <c r="B27" s="243" t="s">
        <v>1417</v>
      </c>
      <c r="C27" s="245" t="s">
        <v>1418</v>
      </c>
      <c r="D27" s="243" t="s">
        <v>847</v>
      </c>
      <c r="E27" s="249">
        <v>30</v>
      </c>
      <c r="F27" s="418"/>
      <c r="G27" s="249">
        <f t="shared" si="0"/>
        <v>0</v>
      </c>
      <c r="H27" s="249"/>
      <c r="I27" s="249">
        <v>0.00092</v>
      </c>
      <c r="J27" s="418"/>
    </row>
    <row r="28" spans="1:10" ht="15">
      <c r="A28" s="243">
        <v>19</v>
      </c>
      <c r="B28" s="243" t="s">
        <v>1419</v>
      </c>
      <c r="C28" s="245" t="s">
        <v>1420</v>
      </c>
      <c r="D28" s="243" t="s">
        <v>847</v>
      </c>
      <c r="E28" s="249">
        <v>10</v>
      </c>
      <c r="F28" s="418"/>
      <c r="G28" s="249">
        <f t="shared" si="0"/>
        <v>0</v>
      </c>
      <c r="H28" s="249"/>
      <c r="I28" s="249">
        <v>0.00105</v>
      </c>
      <c r="J28" s="418"/>
    </row>
    <row r="29" spans="1:10" ht="15">
      <c r="A29" s="243">
        <v>20</v>
      </c>
      <c r="B29" s="243" t="s">
        <v>1421</v>
      </c>
      <c r="C29" s="245" t="s">
        <v>1422</v>
      </c>
      <c r="D29" s="243" t="s">
        <v>1136</v>
      </c>
      <c r="E29" s="249">
        <v>26</v>
      </c>
      <c r="F29" s="418"/>
      <c r="G29" s="249">
        <f t="shared" si="0"/>
        <v>0</v>
      </c>
      <c r="H29" s="249"/>
      <c r="I29" s="249"/>
      <c r="J29" s="418"/>
    </row>
    <row r="30" spans="1:10" ht="15">
      <c r="A30" s="243">
        <v>21</v>
      </c>
      <c r="B30" s="243" t="s">
        <v>1423</v>
      </c>
      <c r="C30" s="245" t="s">
        <v>1424</v>
      </c>
      <c r="D30" s="243" t="s">
        <v>1136</v>
      </c>
      <c r="E30" s="249">
        <v>8</v>
      </c>
      <c r="F30" s="418"/>
      <c r="G30" s="249">
        <f t="shared" si="0"/>
        <v>0</v>
      </c>
      <c r="H30" s="249"/>
      <c r="I30" s="249"/>
      <c r="J30" s="418"/>
    </row>
    <row r="31" spans="1:10" ht="15">
      <c r="A31" s="243">
        <v>22</v>
      </c>
      <c r="B31" s="243" t="s">
        <v>1425</v>
      </c>
      <c r="C31" s="245" t="s">
        <v>1426</v>
      </c>
      <c r="D31" s="243" t="s">
        <v>1136</v>
      </c>
      <c r="E31" s="249">
        <v>16</v>
      </c>
      <c r="F31" s="418"/>
      <c r="G31" s="249">
        <f t="shared" si="0"/>
        <v>0</v>
      </c>
      <c r="H31" s="249"/>
      <c r="I31" s="249"/>
      <c r="J31" s="418"/>
    </row>
    <row r="32" spans="1:10" ht="15">
      <c r="A32" s="243">
        <v>23</v>
      </c>
      <c r="B32" s="243" t="s">
        <v>1427</v>
      </c>
      <c r="C32" s="245" t="s">
        <v>1428</v>
      </c>
      <c r="D32" s="243" t="s">
        <v>1136</v>
      </c>
      <c r="E32" s="249">
        <v>8</v>
      </c>
      <c r="F32" s="418"/>
      <c r="G32" s="249">
        <f t="shared" si="0"/>
        <v>0</v>
      </c>
      <c r="H32" s="249"/>
      <c r="I32" s="249">
        <v>0.001</v>
      </c>
      <c r="J32" s="418"/>
    </row>
    <row r="33" spans="1:10" ht="15">
      <c r="A33" s="243">
        <v>24</v>
      </c>
      <c r="B33" s="243" t="s">
        <v>1429</v>
      </c>
      <c r="C33" s="245" t="s">
        <v>1430</v>
      </c>
      <c r="D33" s="243" t="s">
        <v>1211</v>
      </c>
      <c r="E33" s="249">
        <v>12</v>
      </c>
      <c r="F33" s="418"/>
      <c r="G33" s="249">
        <f t="shared" si="0"/>
        <v>0</v>
      </c>
      <c r="H33" s="249"/>
      <c r="I33" s="249">
        <v>0.001</v>
      </c>
      <c r="J33" s="418"/>
    </row>
    <row r="34" spans="1:10" ht="15">
      <c r="A34" s="243">
        <v>25</v>
      </c>
      <c r="B34" s="243" t="s">
        <v>1431</v>
      </c>
      <c r="C34" s="245" t="s">
        <v>1432</v>
      </c>
      <c r="D34" s="243" t="s">
        <v>1136</v>
      </c>
      <c r="E34" s="249">
        <v>2</v>
      </c>
      <c r="F34" s="418"/>
      <c r="G34" s="249">
        <f t="shared" si="0"/>
        <v>0</v>
      </c>
      <c r="H34" s="249"/>
      <c r="I34" s="249">
        <v>0.01</v>
      </c>
      <c r="J34" s="418"/>
    </row>
    <row r="35" spans="1:10" ht="15">
      <c r="A35" s="243">
        <v>26</v>
      </c>
      <c r="B35" s="243" t="s">
        <v>1433</v>
      </c>
      <c r="C35" s="245" t="s">
        <v>1434</v>
      </c>
      <c r="D35" s="243" t="s">
        <v>1126</v>
      </c>
      <c r="E35" s="249">
        <v>2</v>
      </c>
      <c r="F35" s="418"/>
      <c r="G35" s="249">
        <f t="shared" si="0"/>
        <v>0</v>
      </c>
      <c r="H35" s="249"/>
      <c r="I35" s="249">
        <v>0.001</v>
      </c>
      <c r="J35" s="418"/>
    </row>
    <row r="36" spans="1:10" ht="15">
      <c r="A36" s="243">
        <v>27</v>
      </c>
      <c r="B36" s="243" t="s">
        <v>1435</v>
      </c>
      <c r="C36" s="245" t="s">
        <v>1436</v>
      </c>
      <c r="D36" s="243" t="s">
        <v>1136</v>
      </c>
      <c r="E36" s="249">
        <v>7</v>
      </c>
      <c r="F36" s="418"/>
      <c r="G36" s="249">
        <f t="shared" si="0"/>
        <v>0</v>
      </c>
      <c r="H36" s="249"/>
      <c r="I36" s="249">
        <v>0.00482</v>
      </c>
      <c r="J36" s="418"/>
    </row>
    <row r="37" spans="1:10" ht="15">
      <c r="A37" s="243">
        <v>28</v>
      </c>
      <c r="B37" s="243" t="s">
        <v>1437</v>
      </c>
      <c r="C37" s="245" t="s">
        <v>1438</v>
      </c>
      <c r="D37" s="243" t="s">
        <v>1126</v>
      </c>
      <c r="E37" s="249">
        <v>2</v>
      </c>
      <c r="F37" s="418"/>
      <c r="G37" s="249">
        <f t="shared" si="0"/>
        <v>0</v>
      </c>
      <c r="H37" s="249"/>
      <c r="I37" s="249">
        <v>0.001</v>
      </c>
      <c r="J37" s="418"/>
    </row>
    <row r="38" spans="1:10" ht="15">
      <c r="A38" s="243">
        <v>29</v>
      </c>
      <c r="B38" s="243" t="s">
        <v>1439</v>
      </c>
      <c r="C38" s="245" t="s">
        <v>1440</v>
      </c>
      <c r="D38" s="243" t="s">
        <v>1136</v>
      </c>
      <c r="E38" s="249">
        <v>4</v>
      </c>
      <c r="F38" s="418"/>
      <c r="G38" s="249">
        <f t="shared" si="0"/>
        <v>0</v>
      </c>
      <c r="H38" s="249"/>
      <c r="I38" s="249">
        <v>0.00565</v>
      </c>
      <c r="J38" s="418"/>
    </row>
    <row r="39" spans="1:10" ht="15">
      <c r="A39" s="243">
        <v>30</v>
      </c>
      <c r="B39" s="243" t="s">
        <v>1441</v>
      </c>
      <c r="C39" s="245" t="s">
        <v>1442</v>
      </c>
      <c r="D39" s="243" t="s">
        <v>1126</v>
      </c>
      <c r="E39" s="249">
        <v>1</v>
      </c>
      <c r="F39" s="418"/>
      <c r="G39" s="249">
        <f t="shared" si="0"/>
        <v>0</v>
      </c>
      <c r="H39" s="249"/>
      <c r="I39" s="249"/>
      <c r="J39" s="418"/>
    </row>
    <row r="40" spans="1:10" ht="15">
      <c r="A40" s="243">
        <v>31</v>
      </c>
      <c r="B40" s="243" t="s">
        <v>1443</v>
      </c>
      <c r="C40" s="245" t="s">
        <v>1444</v>
      </c>
      <c r="D40" s="243" t="s">
        <v>847</v>
      </c>
      <c r="E40" s="249">
        <v>120</v>
      </c>
      <c r="F40" s="418"/>
      <c r="G40" s="249">
        <f t="shared" si="0"/>
        <v>0</v>
      </c>
      <c r="H40" s="249"/>
      <c r="I40" s="249"/>
      <c r="J40" s="418"/>
    </row>
    <row r="41" spans="1:10" ht="15">
      <c r="A41" s="243">
        <v>32</v>
      </c>
      <c r="B41" s="243" t="s">
        <v>1445</v>
      </c>
      <c r="C41" s="245" t="s">
        <v>1446</v>
      </c>
      <c r="D41" s="243" t="s">
        <v>1136</v>
      </c>
      <c r="E41" s="249">
        <v>16</v>
      </c>
      <c r="F41" s="418"/>
      <c r="G41" s="249">
        <f t="shared" si="0"/>
        <v>0</v>
      </c>
      <c r="H41" s="249"/>
      <c r="I41" s="249">
        <v>0.001</v>
      </c>
      <c r="J41" s="418"/>
    </row>
    <row r="42" spans="1:10" ht="15">
      <c r="A42" s="243">
        <v>33</v>
      </c>
      <c r="B42" s="243" t="s">
        <v>1447</v>
      </c>
      <c r="C42" s="245" t="s">
        <v>1448</v>
      </c>
      <c r="D42" s="243" t="s">
        <v>1183</v>
      </c>
      <c r="E42" s="249">
        <v>18.79</v>
      </c>
      <c r="F42" s="418"/>
      <c r="G42" s="249">
        <f t="shared" si="0"/>
        <v>0</v>
      </c>
      <c r="H42" s="249"/>
      <c r="I42" s="249"/>
      <c r="J42" s="418"/>
    </row>
    <row r="43" spans="1:10" ht="15">
      <c r="A43" s="243"/>
      <c r="B43" s="243" t="s">
        <v>1449</v>
      </c>
      <c r="C43" s="245" t="s">
        <v>1450</v>
      </c>
      <c r="D43" s="243"/>
      <c r="E43" s="249"/>
      <c r="F43" s="418"/>
      <c r="G43" s="249"/>
      <c r="H43" s="249"/>
      <c r="I43" s="249"/>
      <c r="J43" s="418"/>
    </row>
    <row r="44" spans="1:10" ht="15">
      <c r="A44" s="243"/>
      <c r="B44" s="243"/>
      <c r="C44" s="245"/>
      <c r="D44" s="243"/>
      <c r="E44" s="249"/>
      <c r="F44" s="418"/>
      <c r="G44" s="249"/>
      <c r="H44" s="249"/>
      <c r="I44" s="249"/>
      <c r="J44" s="418"/>
    </row>
    <row r="45" spans="1:10" ht="15">
      <c r="A45" s="243"/>
      <c r="B45" s="243" t="s">
        <v>1451</v>
      </c>
      <c r="C45" s="245" t="s">
        <v>1452</v>
      </c>
      <c r="D45" s="243"/>
      <c r="E45" s="249"/>
      <c r="F45" s="418"/>
      <c r="G45" s="249"/>
      <c r="H45" s="249"/>
      <c r="I45" s="249"/>
      <c r="J45" s="418"/>
    </row>
    <row r="46" spans="1:10" ht="15">
      <c r="A46" s="243">
        <v>34</v>
      </c>
      <c r="B46" s="243" t="s">
        <v>1453</v>
      </c>
      <c r="C46" s="245" t="s">
        <v>1454</v>
      </c>
      <c r="D46" s="243" t="s">
        <v>847</v>
      </c>
      <c r="E46" s="249">
        <v>126</v>
      </c>
      <c r="F46" s="418"/>
      <c r="G46" s="249">
        <f aca="true" t="shared" si="1" ref="G46:G78">E46*F46</f>
        <v>0</v>
      </c>
      <c r="H46" s="249"/>
      <c r="I46" s="249">
        <v>0.02</v>
      </c>
      <c r="J46" s="418"/>
    </row>
    <row r="47" spans="1:10" ht="15">
      <c r="A47" s="243">
        <v>35</v>
      </c>
      <c r="B47" s="243" t="s">
        <v>1455</v>
      </c>
      <c r="C47" s="245" t="s">
        <v>1456</v>
      </c>
      <c r="D47" s="243" t="s">
        <v>1183</v>
      </c>
      <c r="E47" s="249">
        <v>0.42</v>
      </c>
      <c r="F47" s="418"/>
      <c r="G47" s="249">
        <f t="shared" si="1"/>
        <v>0</v>
      </c>
      <c r="H47" s="249"/>
      <c r="I47" s="249">
        <v>0.42</v>
      </c>
      <c r="J47" s="418"/>
    </row>
    <row r="48" spans="1:10" ht="15">
      <c r="A48" s="243">
        <v>36</v>
      </c>
      <c r="B48" s="243" t="s">
        <v>1457</v>
      </c>
      <c r="C48" s="245" t="s">
        <v>1458</v>
      </c>
      <c r="D48" s="243" t="s">
        <v>847</v>
      </c>
      <c r="E48" s="249">
        <v>5</v>
      </c>
      <c r="F48" s="418"/>
      <c r="G48" s="249">
        <f t="shared" si="1"/>
        <v>0</v>
      </c>
      <c r="H48" s="249"/>
      <c r="I48" s="249">
        <v>0.001</v>
      </c>
      <c r="J48" s="418"/>
    </row>
    <row r="49" spans="1:10" ht="15">
      <c r="A49" s="243">
        <v>37</v>
      </c>
      <c r="B49" s="243" t="s">
        <v>1459</v>
      </c>
      <c r="C49" s="245" t="s">
        <v>1460</v>
      </c>
      <c r="D49" s="243" t="s">
        <v>847</v>
      </c>
      <c r="E49" s="249">
        <v>25</v>
      </c>
      <c r="F49" s="418"/>
      <c r="G49" s="249">
        <f t="shared" si="1"/>
        <v>0</v>
      </c>
      <c r="H49" s="249"/>
      <c r="I49" s="249">
        <v>0.001</v>
      </c>
      <c r="J49" s="418"/>
    </row>
    <row r="50" spans="1:10" ht="15">
      <c r="A50" s="243">
        <v>38</v>
      </c>
      <c r="B50" s="243" t="s">
        <v>1461</v>
      </c>
      <c r="C50" s="245" t="s">
        <v>1462</v>
      </c>
      <c r="D50" s="243" t="s">
        <v>1126</v>
      </c>
      <c r="E50" s="249">
        <v>1</v>
      </c>
      <c r="F50" s="418"/>
      <c r="G50" s="249">
        <f t="shared" si="1"/>
        <v>0</v>
      </c>
      <c r="H50" s="249"/>
      <c r="I50" s="249">
        <v>0.002</v>
      </c>
      <c r="J50" s="418"/>
    </row>
    <row r="51" spans="1:10" ht="15">
      <c r="A51" s="243">
        <v>39</v>
      </c>
      <c r="B51" s="243" t="s">
        <v>1463</v>
      </c>
      <c r="C51" s="245" t="s">
        <v>1464</v>
      </c>
      <c r="D51" s="243" t="s">
        <v>1136</v>
      </c>
      <c r="E51" s="249">
        <v>1</v>
      </c>
      <c r="F51" s="418"/>
      <c r="G51" s="249">
        <f t="shared" si="1"/>
        <v>0</v>
      </c>
      <c r="H51" s="249"/>
      <c r="I51" s="249">
        <v>0.001</v>
      </c>
      <c r="J51" s="418"/>
    </row>
    <row r="52" spans="1:10" ht="21">
      <c r="A52" s="243">
        <v>40</v>
      </c>
      <c r="B52" s="243" t="s">
        <v>1465</v>
      </c>
      <c r="C52" s="245" t="s">
        <v>1466</v>
      </c>
      <c r="D52" s="243" t="s">
        <v>1136</v>
      </c>
      <c r="E52" s="249">
        <v>2</v>
      </c>
      <c r="F52" s="418"/>
      <c r="G52" s="249">
        <f t="shared" si="1"/>
        <v>0</v>
      </c>
      <c r="H52" s="249"/>
      <c r="I52" s="249">
        <v>0.02</v>
      </c>
      <c r="J52" s="418"/>
    </row>
    <row r="53" spans="1:10" ht="15">
      <c r="A53" s="243">
        <v>41</v>
      </c>
      <c r="B53" s="243" t="s">
        <v>1467</v>
      </c>
      <c r="C53" s="245" t="s">
        <v>1468</v>
      </c>
      <c r="D53" s="243" t="s">
        <v>1126</v>
      </c>
      <c r="E53" s="249">
        <v>1</v>
      </c>
      <c r="F53" s="418"/>
      <c r="G53" s="249">
        <f t="shared" si="1"/>
        <v>0</v>
      </c>
      <c r="H53" s="249"/>
      <c r="I53" s="249"/>
      <c r="J53" s="418"/>
    </row>
    <row r="54" spans="1:10" ht="15">
      <c r="A54" s="243">
        <v>42</v>
      </c>
      <c r="B54" s="243" t="s">
        <v>1469</v>
      </c>
      <c r="C54" s="245" t="s">
        <v>1470</v>
      </c>
      <c r="D54" s="243" t="s">
        <v>847</v>
      </c>
      <c r="E54" s="249">
        <v>170</v>
      </c>
      <c r="F54" s="418"/>
      <c r="G54" s="249">
        <f t="shared" si="1"/>
        <v>0</v>
      </c>
      <c r="H54" s="249"/>
      <c r="I54" s="249">
        <v>0.002</v>
      </c>
      <c r="J54" s="418"/>
    </row>
    <row r="55" spans="1:10" ht="15">
      <c r="A55" s="243">
        <v>43</v>
      </c>
      <c r="B55" s="243" t="s">
        <v>1471</v>
      </c>
      <c r="C55" s="245" t="s">
        <v>1472</v>
      </c>
      <c r="D55" s="243" t="s">
        <v>847</v>
      </c>
      <c r="E55" s="249">
        <v>60</v>
      </c>
      <c r="F55" s="418"/>
      <c r="G55" s="249">
        <f t="shared" si="1"/>
        <v>0</v>
      </c>
      <c r="H55" s="249"/>
      <c r="I55" s="249">
        <v>0.002</v>
      </c>
      <c r="J55" s="418"/>
    </row>
    <row r="56" spans="1:10" ht="15">
      <c r="A56" s="243">
        <v>44</v>
      </c>
      <c r="B56" s="243" t="s">
        <v>1473</v>
      </c>
      <c r="C56" s="245" t="s">
        <v>1474</v>
      </c>
      <c r="D56" s="243" t="s">
        <v>847</v>
      </c>
      <c r="E56" s="249">
        <v>75</v>
      </c>
      <c r="F56" s="418"/>
      <c r="G56" s="249">
        <f t="shared" si="1"/>
        <v>0</v>
      </c>
      <c r="H56" s="249"/>
      <c r="I56" s="249">
        <v>0.002</v>
      </c>
      <c r="J56" s="418"/>
    </row>
    <row r="57" spans="1:10" ht="15">
      <c r="A57" s="243">
        <v>45</v>
      </c>
      <c r="B57" s="243" t="s">
        <v>1475</v>
      </c>
      <c r="C57" s="245" t="s">
        <v>1476</v>
      </c>
      <c r="D57" s="243" t="s">
        <v>847</v>
      </c>
      <c r="E57" s="249">
        <v>1</v>
      </c>
      <c r="F57" s="418"/>
      <c r="G57" s="249">
        <f t="shared" si="1"/>
        <v>0</v>
      </c>
      <c r="H57" s="249"/>
      <c r="I57" s="249">
        <v>0.001</v>
      </c>
      <c r="J57" s="418"/>
    </row>
    <row r="58" spans="1:10" ht="15">
      <c r="A58" s="243">
        <v>46</v>
      </c>
      <c r="B58" s="243" t="s">
        <v>1477</v>
      </c>
      <c r="C58" s="245" t="s">
        <v>1478</v>
      </c>
      <c r="D58" s="243" t="s">
        <v>1136</v>
      </c>
      <c r="E58" s="249">
        <v>2</v>
      </c>
      <c r="F58" s="418"/>
      <c r="G58" s="249">
        <f t="shared" si="1"/>
        <v>0</v>
      </c>
      <c r="H58" s="249"/>
      <c r="I58" s="249">
        <v>0.001</v>
      </c>
      <c r="J58" s="418"/>
    </row>
    <row r="59" spans="1:10" ht="15">
      <c r="A59" s="243">
        <v>47</v>
      </c>
      <c r="B59" s="243" t="s">
        <v>1479</v>
      </c>
      <c r="C59" s="245" t="s">
        <v>1480</v>
      </c>
      <c r="D59" s="243" t="s">
        <v>1211</v>
      </c>
      <c r="E59" s="249">
        <v>15</v>
      </c>
      <c r="F59" s="418"/>
      <c r="G59" s="249">
        <f t="shared" si="1"/>
        <v>0</v>
      </c>
      <c r="H59" s="249"/>
      <c r="I59" s="249">
        <v>0.001</v>
      </c>
      <c r="J59" s="418"/>
    </row>
    <row r="60" spans="1:10" ht="15">
      <c r="A60" s="243">
        <v>48</v>
      </c>
      <c r="B60" s="243" t="s">
        <v>1481</v>
      </c>
      <c r="C60" s="245" t="s">
        <v>1482</v>
      </c>
      <c r="D60" s="243" t="s">
        <v>847</v>
      </c>
      <c r="E60" s="249">
        <v>40</v>
      </c>
      <c r="F60" s="418"/>
      <c r="G60" s="249">
        <f t="shared" si="1"/>
        <v>0</v>
      </c>
      <c r="H60" s="249"/>
      <c r="I60" s="249">
        <v>0.01</v>
      </c>
      <c r="J60" s="418"/>
    </row>
    <row r="61" spans="1:10" ht="15">
      <c r="A61" s="243">
        <v>49</v>
      </c>
      <c r="B61" s="243" t="s">
        <v>1483</v>
      </c>
      <c r="C61" s="245" t="s">
        <v>1484</v>
      </c>
      <c r="D61" s="243" t="s">
        <v>847</v>
      </c>
      <c r="E61" s="249">
        <v>305</v>
      </c>
      <c r="F61" s="418"/>
      <c r="G61" s="249">
        <f t="shared" si="1"/>
        <v>0</v>
      </c>
      <c r="H61" s="249"/>
      <c r="I61" s="249">
        <v>0.001</v>
      </c>
      <c r="J61" s="418"/>
    </row>
    <row r="62" spans="1:10" ht="15">
      <c r="A62" s="243">
        <v>50</v>
      </c>
      <c r="B62" s="243" t="s">
        <v>1485</v>
      </c>
      <c r="C62" s="245" t="s">
        <v>1486</v>
      </c>
      <c r="D62" s="243" t="s">
        <v>1136</v>
      </c>
      <c r="E62" s="249">
        <v>68</v>
      </c>
      <c r="F62" s="418"/>
      <c r="G62" s="249">
        <f t="shared" si="1"/>
        <v>0</v>
      </c>
      <c r="H62" s="249"/>
      <c r="I62" s="249">
        <v>0.00083</v>
      </c>
      <c r="J62" s="418"/>
    </row>
    <row r="63" spans="1:10" ht="15">
      <c r="A63" s="243">
        <v>51</v>
      </c>
      <c r="B63" s="243" t="s">
        <v>1487</v>
      </c>
      <c r="C63" s="245" t="s">
        <v>1488</v>
      </c>
      <c r="D63" s="243" t="s">
        <v>1136</v>
      </c>
      <c r="E63" s="249">
        <v>2</v>
      </c>
      <c r="F63" s="418"/>
      <c r="G63" s="249">
        <f t="shared" si="1"/>
        <v>0</v>
      </c>
      <c r="H63" s="249"/>
      <c r="I63" s="249">
        <v>0.001</v>
      </c>
      <c r="J63" s="418"/>
    </row>
    <row r="64" spans="1:10" ht="15">
      <c r="A64" s="243">
        <v>52</v>
      </c>
      <c r="B64" s="243" t="s">
        <v>1489</v>
      </c>
      <c r="C64" s="245" t="s">
        <v>1490</v>
      </c>
      <c r="D64" s="243" t="s">
        <v>1136</v>
      </c>
      <c r="E64" s="249">
        <v>10</v>
      </c>
      <c r="F64" s="418"/>
      <c r="G64" s="249">
        <f t="shared" si="1"/>
        <v>0</v>
      </c>
      <c r="H64" s="249"/>
      <c r="I64" s="249">
        <v>0.001</v>
      </c>
      <c r="J64" s="418"/>
    </row>
    <row r="65" spans="1:10" ht="15">
      <c r="A65" s="243">
        <v>53</v>
      </c>
      <c r="B65" s="243" t="s">
        <v>1491</v>
      </c>
      <c r="C65" s="245" t="s">
        <v>1492</v>
      </c>
      <c r="D65" s="243" t="s">
        <v>1136</v>
      </c>
      <c r="E65" s="249">
        <v>4</v>
      </c>
      <c r="F65" s="418"/>
      <c r="G65" s="249">
        <f t="shared" si="1"/>
        <v>0</v>
      </c>
      <c r="H65" s="249"/>
      <c r="I65" s="249">
        <v>0.001</v>
      </c>
      <c r="J65" s="418"/>
    </row>
    <row r="66" spans="1:10" ht="15">
      <c r="A66" s="243">
        <v>54</v>
      </c>
      <c r="B66" s="243" t="s">
        <v>1493</v>
      </c>
      <c r="C66" s="245" t="s">
        <v>1494</v>
      </c>
      <c r="D66" s="243" t="s">
        <v>1136</v>
      </c>
      <c r="E66" s="249">
        <v>2</v>
      </c>
      <c r="F66" s="418"/>
      <c r="G66" s="249">
        <f t="shared" si="1"/>
        <v>0</v>
      </c>
      <c r="H66" s="249"/>
      <c r="I66" s="249">
        <v>0.001</v>
      </c>
      <c r="J66" s="418"/>
    </row>
    <row r="67" spans="1:10" ht="15">
      <c r="A67" s="243">
        <v>55</v>
      </c>
      <c r="B67" s="243" t="s">
        <v>1495</v>
      </c>
      <c r="C67" s="245" t="s">
        <v>1496</v>
      </c>
      <c r="D67" s="243" t="s">
        <v>1136</v>
      </c>
      <c r="E67" s="249">
        <v>2</v>
      </c>
      <c r="F67" s="418"/>
      <c r="G67" s="249">
        <f t="shared" si="1"/>
        <v>0</v>
      </c>
      <c r="H67" s="249"/>
      <c r="I67" s="249">
        <v>0.001</v>
      </c>
      <c r="J67" s="418"/>
    </row>
    <row r="68" spans="1:10" ht="15">
      <c r="A68" s="243">
        <v>56</v>
      </c>
      <c r="B68" s="243" t="s">
        <v>1497</v>
      </c>
      <c r="C68" s="245" t="s">
        <v>1498</v>
      </c>
      <c r="D68" s="243" t="s">
        <v>1126</v>
      </c>
      <c r="E68" s="249">
        <v>2</v>
      </c>
      <c r="F68" s="418"/>
      <c r="G68" s="249">
        <f t="shared" si="1"/>
        <v>0</v>
      </c>
      <c r="H68" s="249"/>
      <c r="I68" s="249">
        <v>0.02</v>
      </c>
      <c r="J68" s="418"/>
    </row>
    <row r="69" spans="1:10" ht="15">
      <c r="A69" s="243">
        <v>57</v>
      </c>
      <c r="B69" s="243" t="s">
        <v>1499</v>
      </c>
      <c r="C69" s="245" t="s">
        <v>1446</v>
      </c>
      <c r="D69" s="243" t="s">
        <v>1136</v>
      </c>
      <c r="E69" s="249">
        <v>16</v>
      </c>
      <c r="F69" s="418"/>
      <c r="G69" s="249">
        <f t="shared" si="1"/>
        <v>0</v>
      </c>
      <c r="H69" s="249"/>
      <c r="I69" s="249">
        <v>0.01</v>
      </c>
      <c r="J69" s="418"/>
    </row>
    <row r="70" spans="1:10" ht="21">
      <c r="A70" s="243">
        <v>58</v>
      </c>
      <c r="B70" s="243" t="s">
        <v>1500</v>
      </c>
      <c r="C70" s="245" t="s">
        <v>1501</v>
      </c>
      <c r="D70" s="243" t="s">
        <v>847</v>
      </c>
      <c r="E70" s="249">
        <v>65</v>
      </c>
      <c r="F70" s="418"/>
      <c r="G70" s="249">
        <f t="shared" si="1"/>
        <v>0</v>
      </c>
      <c r="H70" s="249"/>
      <c r="I70" s="249">
        <v>0.001</v>
      </c>
      <c r="J70" s="418"/>
    </row>
    <row r="71" spans="1:10" ht="15">
      <c r="A71" s="243">
        <v>59</v>
      </c>
      <c r="B71" s="243" t="s">
        <v>1502</v>
      </c>
      <c r="C71" s="245" t="s">
        <v>1503</v>
      </c>
      <c r="D71" s="243" t="s">
        <v>1136</v>
      </c>
      <c r="E71" s="249">
        <v>34</v>
      </c>
      <c r="F71" s="418"/>
      <c r="G71" s="249">
        <f t="shared" si="1"/>
        <v>0</v>
      </c>
      <c r="H71" s="249"/>
      <c r="I71" s="249">
        <v>0.001</v>
      </c>
      <c r="J71" s="418"/>
    </row>
    <row r="72" spans="1:10" ht="15">
      <c r="A72" s="243">
        <v>60</v>
      </c>
      <c r="B72" s="243" t="s">
        <v>1504</v>
      </c>
      <c r="C72" s="245" t="s">
        <v>1505</v>
      </c>
      <c r="D72" s="243" t="s">
        <v>1136</v>
      </c>
      <c r="E72" s="249">
        <v>8</v>
      </c>
      <c r="F72" s="418"/>
      <c r="G72" s="249">
        <f t="shared" si="1"/>
        <v>0</v>
      </c>
      <c r="H72" s="249"/>
      <c r="I72" s="249">
        <v>0.001</v>
      </c>
      <c r="J72" s="418"/>
    </row>
    <row r="73" spans="1:10" ht="15">
      <c r="A73" s="243">
        <v>61</v>
      </c>
      <c r="B73" s="243" t="s">
        <v>1506</v>
      </c>
      <c r="C73" s="245" t="s">
        <v>1507</v>
      </c>
      <c r="D73" s="243" t="s">
        <v>1126</v>
      </c>
      <c r="E73" s="249">
        <v>6</v>
      </c>
      <c r="F73" s="418"/>
      <c r="G73" s="249">
        <f t="shared" si="1"/>
        <v>0</v>
      </c>
      <c r="H73" s="249"/>
      <c r="I73" s="249">
        <v>0.001</v>
      </c>
      <c r="J73" s="418"/>
    </row>
    <row r="74" spans="1:10" ht="15">
      <c r="A74" s="243">
        <v>62</v>
      </c>
      <c r="B74" s="243" t="s">
        <v>1508</v>
      </c>
      <c r="C74" s="245" t="s">
        <v>1509</v>
      </c>
      <c r="D74" s="243" t="s">
        <v>1126</v>
      </c>
      <c r="E74" s="249">
        <v>1</v>
      </c>
      <c r="F74" s="418"/>
      <c r="G74" s="249">
        <f t="shared" si="1"/>
        <v>0</v>
      </c>
      <c r="H74" s="249"/>
      <c r="I74" s="249">
        <v>0.001</v>
      </c>
      <c r="J74" s="418"/>
    </row>
    <row r="75" spans="1:10" ht="15">
      <c r="A75" s="243">
        <v>63</v>
      </c>
      <c r="B75" s="243" t="s">
        <v>1510</v>
      </c>
      <c r="C75" s="245" t="s">
        <v>1511</v>
      </c>
      <c r="D75" s="243" t="s">
        <v>847</v>
      </c>
      <c r="E75" s="249">
        <v>305</v>
      </c>
      <c r="F75" s="418"/>
      <c r="G75" s="249">
        <f t="shared" si="1"/>
        <v>0</v>
      </c>
      <c r="H75" s="249"/>
      <c r="I75" s="249">
        <v>0.00018</v>
      </c>
      <c r="J75" s="418"/>
    </row>
    <row r="76" spans="1:10" ht="15">
      <c r="A76" s="243">
        <v>64</v>
      </c>
      <c r="B76" s="243" t="s">
        <v>1512</v>
      </c>
      <c r="C76" s="245" t="s">
        <v>1513</v>
      </c>
      <c r="D76" s="243" t="s">
        <v>847</v>
      </c>
      <c r="E76" s="249">
        <v>305</v>
      </c>
      <c r="F76" s="418"/>
      <c r="G76" s="249">
        <f t="shared" si="1"/>
        <v>0</v>
      </c>
      <c r="H76" s="249"/>
      <c r="I76" s="249">
        <v>0.001</v>
      </c>
      <c r="J76" s="418"/>
    </row>
    <row r="77" spans="1:10" ht="21">
      <c r="A77" s="243">
        <v>65</v>
      </c>
      <c r="B77" s="243" t="s">
        <v>1514</v>
      </c>
      <c r="C77" s="245" t="s">
        <v>1515</v>
      </c>
      <c r="D77" s="243" t="s">
        <v>1136</v>
      </c>
      <c r="E77" s="249">
        <v>15</v>
      </c>
      <c r="F77" s="418"/>
      <c r="G77" s="249">
        <f t="shared" si="1"/>
        <v>0</v>
      </c>
      <c r="H77" s="249"/>
      <c r="I77" s="249">
        <v>0.001</v>
      </c>
      <c r="J77" s="418"/>
    </row>
    <row r="78" spans="1:10" ht="15">
      <c r="A78" s="243">
        <v>66</v>
      </c>
      <c r="B78" s="243" t="s">
        <v>1516</v>
      </c>
      <c r="C78" s="245" t="s">
        <v>1517</v>
      </c>
      <c r="D78" s="243" t="s">
        <v>1183</v>
      </c>
      <c r="E78" s="250">
        <v>4.87</v>
      </c>
      <c r="F78" s="418"/>
      <c r="G78" s="249">
        <f t="shared" si="1"/>
        <v>0</v>
      </c>
      <c r="H78" s="249"/>
      <c r="I78" s="249"/>
      <c r="J78" s="418"/>
    </row>
    <row r="79" spans="1:10" ht="15">
      <c r="A79" s="243"/>
      <c r="B79" s="243" t="s">
        <v>1451</v>
      </c>
      <c r="C79" s="245" t="s">
        <v>1518</v>
      </c>
      <c r="D79" s="243"/>
      <c r="E79" s="249"/>
      <c r="F79" s="418"/>
      <c r="G79" s="249"/>
      <c r="H79" s="249"/>
      <c r="I79" s="249"/>
      <c r="J79" s="418"/>
    </row>
    <row r="80" spans="1:10" ht="15">
      <c r="A80" s="243"/>
      <c r="B80" s="243"/>
      <c r="C80" s="245"/>
      <c r="D80" s="243"/>
      <c r="E80" s="249"/>
      <c r="F80" s="418"/>
      <c r="G80" s="249"/>
      <c r="H80" s="249"/>
      <c r="I80" s="249"/>
      <c r="J80" s="418"/>
    </row>
    <row r="81" spans="1:10" ht="15">
      <c r="A81" s="243"/>
      <c r="B81" s="243" t="s">
        <v>1519</v>
      </c>
      <c r="C81" s="245" t="s">
        <v>1520</v>
      </c>
      <c r="D81" s="243"/>
      <c r="E81" s="249"/>
      <c r="F81" s="418"/>
      <c r="G81" s="249"/>
      <c r="H81" s="249"/>
      <c r="I81" s="249"/>
      <c r="J81" s="418"/>
    </row>
    <row r="82" spans="1:10" ht="15">
      <c r="A82" s="243">
        <v>67</v>
      </c>
      <c r="B82" s="243" t="s">
        <v>1521</v>
      </c>
      <c r="C82" s="245" t="s">
        <v>1522</v>
      </c>
      <c r="D82" s="243" t="s">
        <v>1126</v>
      </c>
      <c r="E82" s="249">
        <v>18</v>
      </c>
      <c r="F82" s="418"/>
      <c r="G82" s="249">
        <f aca="true" t="shared" si="2" ref="G82:G101">E82*F82</f>
        <v>0</v>
      </c>
      <c r="H82" s="249"/>
      <c r="I82" s="249">
        <v>0.00204</v>
      </c>
      <c r="J82" s="418"/>
    </row>
    <row r="83" spans="1:10" ht="15">
      <c r="A83" s="243">
        <v>68</v>
      </c>
      <c r="B83" s="243" t="s">
        <v>1523</v>
      </c>
      <c r="C83" s="245" t="s">
        <v>1524</v>
      </c>
      <c r="D83" s="243" t="s">
        <v>1126</v>
      </c>
      <c r="E83" s="249">
        <v>18</v>
      </c>
      <c r="F83" s="418"/>
      <c r="G83" s="249">
        <f t="shared" si="2"/>
        <v>0</v>
      </c>
      <c r="H83" s="249"/>
      <c r="I83" s="249">
        <v>0.05</v>
      </c>
      <c r="J83" s="418"/>
    </row>
    <row r="84" spans="1:10" ht="15">
      <c r="A84" s="243">
        <v>69</v>
      </c>
      <c r="B84" s="243" t="s">
        <v>1525</v>
      </c>
      <c r="C84" s="245" t="s">
        <v>1526</v>
      </c>
      <c r="D84" s="243" t="s">
        <v>1126</v>
      </c>
      <c r="E84" s="249">
        <v>2</v>
      </c>
      <c r="F84" s="418"/>
      <c r="G84" s="249">
        <f t="shared" si="2"/>
        <v>0</v>
      </c>
      <c r="H84" s="249"/>
      <c r="I84" s="249">
        <v>0.03</v>
      </c>
      <c r="J84" s="418"/>
    </row>
    <row r="85" spans="1:10" ht="15">
      <c r="A85" s="243">
        <v>70</v>
      </c>
      <c r="B85" s="243" t="s">
        <v>1527</v>
      </c>
      <c r="C85" s="245" t="s">
        <v>1528</v>
      </c>
      <c r="D85" s="243" t="s">
        <v>1136</v>
      </c>
      <c r="E85" s="249">
        <v>14</v>
      </c>
      <c r="F85" s="418"/>
      <c r="G85" s="249">
        <f t="shared" si="2"/>
        <v>0</v>
      </c>
      <c r="H85" s="249"/>
      <c r="I85" s="249">
        <v>0.03</v>
      </c>
      <c r="J85" s="418"/>
    </row>
    <row r="86" spans="1:10" ht="15">
      <c r="A86" s="243">
        <v>71</v>
      </c>
      <c r="B86" s="243" t="s">
        <v>1529</v>
      </c>
      <c r="C86" s="245" t="s">
        <v>1530</v>
      </c>
      <c r="D86" s="243" t="s">
        <v>1136</v>
      </c>
      <c r="E86" s="249">
        <v>2</v>
      </c>
      <c r="F86" s="418"/>
      <c r="G86" s="249">
        <f t="shared" si="2"/>
        <v>0</v>
      </c>
      <c r="H86" s="249"/>
      <c r="I86" s="249">
        <v>0.02</v>
      </c>
      <c r="J86" s="418"/>
    </row>
    <row r="87" spans="1:10" ht="15">
      <c r="A87" s="243">
        <v>72</v>
      </c>
      <c r="B87" s="243" t="s">
        <v>1531</v>
      </c>
      <c r="C87" s="245" t="s">
        <v>1532</v>
      </c>
      <c r="D87" s="243" t="s">
        <v>1136</v>
      </c>
      <c r="E87" s="249">
        <v>12</v>
      </c>
      <c r="F87" s="418"/>
      <c r="G87" s="249">
        <f t="shared" si="2"/>
        <v>0</v>
      </c>
      <c r="H87" s="249"/>
      <c r="I87" s="249">
        <v>0.01</v>
      </c>
      <c r="J87" s="418"/>
    </row>
    <row r="88" spans="1:10" ht="21">
      <c r="A88" s="243">
        <v>73</v>
      </c>
      <c r="B88" s="243" t="s">
        <v>1533</v>
      </c>
      <c r="C88" s="245" t="s">
        <v>1534</v>
      </c>
      <c r="D88" s="243" t="s">
        <v>1136</v>
      </c>
      <c r="E88" s="249">
        <v>2</v>
      </c>
      <c r="F88" s="418"/>
      <c r="G88" s="249">
        <f t="shared" si="2"/>
        <v>0</v>
      </c>
      <c r="H88" s="249"/>
      <c r="I88" s="249">
        <v>0.059</v>
      </c>
      <c r="J88" s="418"/>
    </row>
    <row r="89" spans="1:10" ht="15">
      <c r="A89" s="243">
        <v>74</v>
      </c>
      <c r="B89" s="243" t="s">
        <v>1535</v>
      </c>
      <c r="C89" s="245" t="s">
        <v>1536</v>
      </c>
      <c r="D89" s="243" t="s">
        <v>1126</v>
      </c>
      <c r="E89" s="249">
        <v>1</v>
      </c>
      <c r="F89" s="418"/>
      <c r="G89" s="249">
        <f t="shared" si="2"/>
        <v>0</v>
      </c>
      <c r="H89" s="249"/>
      <c r="I89" s="249">
        <v>0.001</v>
      </c>
      <c r="J89" s="418"/>
    </row>
    <row r="90" spans="1:10" ht="15">
      <c r="A90" s="243">
        <v>75</v>
      </c>
      <c r="B90" s="243" t="s">
        <v>1537</v>
      </c>
      <c r="C90" s="245" t="s">
        <v>1538</v>
      </c>
      <c r="D90" s="243" t="s">
        <v>1136</v>
      </c>
      <c r="E90" s="249">
        <v>19</v>
      </c>
      <c r="F90" s="418"/>
      <c r="G90" s="249">
        <f t="shared" si="2"/>
        <v>0</v>
      </c>
      <c r="H90" s="249"/>
      <c r="I90" s="249">
        <v>0.005</v>
      </c>
      <c r="J90" s="418"/>
    </row>
    <row r="91" spans="1:10" ht="15">
      <c r="A91" s="243">
        <v>76</v>
      </c>
      <c r="B91" s="243" t="s">
        <v>1523</v>
      </c>
      <c r="C91" s="245" t="s">
        <v>1539</v>
      </c>
      <c r="D91" s="243" t="s">
        <v>1136</v>
      </c>
      <c r="E91" s="249">
        <v>12</v>
      </c>
      <c r="F91" s="418"/>
      <c r="G91" s="249">
        <f t="shared" si="2"/>
        <v>0</v>
      </c>
      <c r="H91" s="249"/>
      <c r="I91" s="249">
        <v>0.012</v>
      </c>
      <c r="J91" s="418"/>
    </row>
    <row r="92" spans="1:10" ht="15">
      <c r="A92" s="243">
        <v>77</v>
      </c>
      <c r="B92" s="243" t="s">
        <v>1525</v>
      </c>
      <c r="C92" s="245" t="s">
        <v>1540</v>
      </c>
      <c r="D92" s="243" t="s">
        <v>1136</v>
      </c>
      <c r="E92" s="249">
        <v>7</v>
      </c>
      <c r="F92" s="418"/>
      <c r="G92" s="249">
        <f t="shared" si="2"/>
        <v>0</v>
      </c>
      <c r="H92" s="249"/>
      <c r="I92" s="249">
        <v>0.005</v>
      </c>
      <c r="J92" s="418"/>
    </row>
    <row r="93" spans="1:10" ht="31.2">
      <c r="A93" s="243">
        <v>78</v>
      </c>
      <c r="B93" s="243" t="s">
        <v>1541</v>
      </c>
      <c r="C93" s="245" t="s">
        <v>1542</v>
      </c>
      <c r="D93" s="243" t="s">
        <v>1126</v>
      </c>
      <c r="E93" s="249">
        <v>2</v>
      </c>
      <c r="F93" s="418"/>
      <c r="G93" s="249">
        <f t="shared" si="2"/>
        <v>0</v>
      </c>
      <c r="H93" s="249"/>
      <c r="I93" s="249">
        <v>0.058</v>
      </c>
      <c r="J93" s="418"/>
    </row>
    <row r="94" spans="1:10" ht="15">
      <c r="A94" s="243">
        <v>79</v>
      </c>
      <c r="B94" s="243" t="s">
        <v>1543</v>
      </c>
      <c r="C94" s="245" t="s">
        <v>1544</v>
      </c>
      <c r="D94" s="243" t="s">
        <v>1136</v>
      </c>
      <c r="E94" s="249">
        <v>11</v>
      </c>
      <c r="F94" s="418"/>
      <c r="G94" s="249">
        <f t="shared" si="2"/>
        <v>0</v>
      </c>
      <c r="H94" s="249"/>
      <c r="I94" s="249">
        <v>0.00012</v>
      </c>
      <c r="J94" s="418"/>
    </row>
    <row r="95" spans="1:10" ht="15">
      <c r="A95" s="243">
        <v>80</v>
      </c>
      <c r="B95" s="243" t="s">
        <v>1523</v>
      </c>
      <c r="C95" s="245" t="s">
        <v>1545</v>
      </c>
      <c r="D95" s="243" t="s">
        <v>1126</v>
      </c>
      <c r="E95" s="249">
        <v>7</v>
      </c>
      <c r="F95" s="418"/>
      <c r="G95" s="249">
        <f t="shared" si="2"/>
        <v>0</v>
      </c>
      <c r="H95" s="249"/>
      <c r="I95" s="249">
        <v>0.001</v>
      </c>
      <c r="J95" s="418"/>
    </row>
    <row r="96" spans="1:10" ht="15">
      <c r="A96" s="243">
        <v>81</v>
      </c>
      <c r="B96" s="243" t="s">
        <v>1525</v>
      </c>
      <c r="C96" s="245" t="s">
        <v>1546</v>
      </c>
      <c r="D96" s="243" t="s">
        <v>1126</v>
      </c>
      <c r="E96" s="249">
        <v>2</v>
      </c>
      <c r="F96" s="418"/>
      <c r="G96" s="249">
        <f t="shared" si="2"/>
        <v>0</v>
      </c>
      <c r="H96" s="249"/>
      <c r="I96" s="249">
        <v>0.001</v>
      </c>
      <c r="J96" s="418"/>
    </row>
    <row r="97" spans="1:10" ht="15">
      <c r="A97" s="243">
        <v>82</v>
      </c>
      <c r="B97" s="243" t="s">
        <v>1527</v>
      </c>
      <c r="C97" s="245" t="s">
        <v>1547</v>
      </c>
      <c r="D97" s="243" t="s">
        <v>1136</v>
      </c>
      <c r="E97" s="249">
        <v>2</v>
      </c>
      <c r="F97" s="418"/>
      <c r="G97" s="249">
        <f t="shared" si="2"/>
        <v>0</v>
      </c>
      <c r="H97" s="249"/>
      <c r="I97" s="249">
        <v>0.002</v>
      </c>
      <c r="J97" s="418"/>
    </row>
    <row r="98" spans="1:10" ht="15">
      <c r="A98" s="243">
        <v>83</v>
      </c>
      <c r="B98" s="243" t="s">
        <v>1548</v>
      </c>
      <c r="C98" s="245" t="s">
        <v>1549</v>
      </c>
      <c r="D98" s="243" t="s">
        <v>1136</v>
      </c>
      <c r="E98" s="249">
        <v>12</v>
      </c>
      <c r="F98" s="418"/>
      <c r="G98" s="249">
        <f t="shared" si="2"/>
        <v>0</v>
      </c>
      <c r="H98" s="249"/>
      <c r="I98" s="249">
        <v>0.001</v>
      </c>
      <c r="J98" s="418"/>
    </row>
    <row r="99" spans="1:10" ht="15">
      <c r="A99" s="243">
        <v>84</v>
      </c>
      <c r="B99" s="243" t="s">
        <v>1523</v>
      </c>
      <c r="C99" s="245" t="s">
        <v>1550</v>
      </c>
      <c r="D99" s="243" t="s">
        <v>1136</v>
      </c>
      <c r="E99" s="249">
        <v>12</v>
      </c>
      <c r="F99" s="418"/>
      <c r="G99" s="249">
        <f t="shared" si="2"/>
        <v>0</v>
      </c>
      <c r="H99" s="249"/>
      <c r="I99" s="249">
        <v>0.001</v>
      </c>
      <c r="J99" s="418"/>
    </row>
    <row r="100" spans="1:10" ht="15">
      <c r="A100" s="243">
        <v>85</v>
      </c>
      <c r="B100" s="243" t="s">
        <v>1551</v>
      </c>
      <c r="C100" s="245" t="s">
        <v>1552</v>
      </c>
      <c r="D100" s="243" t="s">
        <v>1126</v>
      </c>
      <c r="E100" s="249">
        <v>2</v>
      </c>
      <c r="F100" s="418"/>
      <c r="G100" s="249">
        <f t="shared" si="2"/>
        <v>0</v>
      </c>
      <c r="H100" s="249"/>
      <c r="I100" s="249">
        <v>0.001</v>
      </c>
      <c r="J100" s="418"/>
    </row>
    <row r="101" spans="1:10" ht="15">
      <c r="A101" s="243">
        <v>86</v>
      </c>
      <c r="B101" s="243" t="s">
        <v>1553</v>
      </c>
      <c r="C101" s="245" t="s">
        <v>1554</v>
      </c>
      <c r="D101" s="243" t="s">
        <v>1183</v>
      </c>
      <c r="E101" s="250" t="s">
        <v>1555</v>
      </c>
      <c r="F101" s="418"/>
      <c r="G101" s="249">
        <f t="shared" si="2"/>
        <v>0</v>
      </c>
      <c r="H101" s="249"/>
      <c r="I101" s="249"/>
      <c r="J101" s="418"/>
    </row>
    <row r="102" spans="1:10" ht="15">
      <c r="A102" s="243"/>
      <c r="B102" s="243" t="s">
        <v>1556</v>
      </c>
      <c r="C102" s="245" t="s">
        <v>1557</v>
      </c>
      <c r="D102" s="243"/>
      <c r="E102" s="249"/>
      <c r="F102" s="249"/>
      <c r="G102" s="249"/>
      <c r="H102" s="249"/>
      <c r="I102" s="249"/>
      <c r="J102" s="418"/>
    </row>
    <row r="103" spans="1:10" ht="15">
      <c r="A103" s="243"/>
      <c r="B103" s="243"/>
      <c r="C103" s="245"/>
      <c r="D103" s="243"/>
      <c r="E103" s="243"/>
      <c r="F103" s="243"/>
      <c r="G103" s="243"/>
      <c r="H103" s="243"/>
      <c r="I103" s="243"/>
      <c r="J103" s="419"/>
    </row>
    <row r="104" spans="1:10" ht="15">
      <c r="A104" s="243" t="s">
        <v>1194</v>
      </c>
      <c r="B104" s="243" t="s">
        <v>1377</v>
      </c>
      <c r="C104" s="245" t="s">
        <v>1558</v>
      </c>
      <c r="D104" s="243"/>
      <c r="E104" s="243"/>
      <c r="F104" s="243"/>
      <c r="G104" s="243">
        <f>SUM(G10:G102)</f>
        <v>0</v>
      </c>
      <c r="H104" s="243" t="s">
        <v>1186</v>
      </c>
      <c r="I104" s="243"/>
      <c r="J104" s="419"/>
    </row>
    <row r="105" spans="1:10" ht="15">
      <c r="A105" s="243"/>
      <c r="B105" s="243"/>
      <c r="C105" s="245"/>
      <c r="D105" s="243"/>
      <c r="E105" s="243"/>
      <c r="F105" s="243"/>
      <c r="G105" s="243"/>
      <c r="H105" s="243"/>
      <c r="I105" s="243"/>
      <c r="J105" s="243"/>
    </row>
    <row r="106" spans="1:10" ht="15">
      <c r="A106" s="243"/>
      <c r="B106" s="243"/>
      <c r="C106" s="243"/>
      <c r="D106" s="243"/>
      <c r="E106" s="243"/>
      <c r="F106" s="243"/>
      <c r="G106" s="243"/>
      <c r="H106" s="243"/>
      <c r="I106" s="243"/>
      <c r="J106" s="243"/>
    </row>
    <row r="107" spans="1:10" ht="15">
      <c r="A107" s="243"/>
      <c r="B107" s="243"/>
      <c r="C107" s="243"/>
      <c r="D107" s="243"/>
      <c r="E107" s="243"/>
      <c r="F107" s="243"/>
      <c r="G107" s="243"/>
      <c r="H107" s="243"/>
      <c r="I107" s="243"/>
      <c r="J107" s="243"/>
    </row>
  </sheetData>
  <sheetProtection algorithmName="SHA-512" hashValue="IjoZ38J0L1B9zY2XFHG5IJO2jI9ibMqRTvrW0RhqCDaVa7kCueEoF6Ls+zLokHsP0npgI7ygWTDNKz54hJR4jw==" saltValue="DHJEaaqfXORsVvjsXPQwRg==" spinCount="100000" sheet="1" objects="1" scenarios="1"/>
  <printOptions/>
  <pageMargins left="0.747916666666667" right="0.747916666666667" top="0.984027777777778" bottom="0.984027777777778" header="0.511811023622047" footer="0.511811023622047"/>
  <pageSetup fitToHeight="99" fitToWidth="1" horizontalDpi="300" verticalDpi="3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="150" zoomScaleNormal="150" workbookViewId="0" topLeftCell="A7">
      <selection activeCell="C23" sqref="C23"/>
    </sheetView>
  </sheetViews>
  <sheetFormatPr defaultColWidth="8.7109375" defaultRowHeight="15"/>
  <cols>
    <col min="1" max="1" width="3.7109375" style="0" customWidth="1"/>
    <col min="2" max="2" width="11.7109375" style="0" customWidth="1"/>
    <col min="3" max="3" width="40.7109375" style="0" customWidth="1"/>
    <col min="4" max="4" width="10.7109375" style="0" customWidth="1"/>
    <col min="5" max="6" width="13.7109375" style="0" customWidth="1"/>
    <col min="7" max="7" width="16.7109375" style="0" customWidth="1"/>
  </cols>
  <sheetData>
    <row r="1" spans="1:8" ht="21">
      <c r="A1" s="4" t="s">
        <v>1560</v>
      </c>
      <c r="B1" s="5"/>
      <c r="C1" s="5"/>
      <c r="D1" s="5"/>
      <c r="E1" s="5"/>
      <c r="F1" s="5"/>
      <c r="G1" s="5"/>
      <c r="H1" s="5"/>
    </row>
    <row r="2" spans="1:8" ht="15">
      <c r="A2" s="2" t="s">
        <v>1803</v>
      </c>
      <c r="B2" s="2"/>
      <c r="C2" s="6"/>
      <c r="D2" s="6"/>
      <c r="E2" s="6"/>
      <c r="F2" s="6"/>
      <c r="G2" s="5"/>
      <c r="H2" s="5"/>
    </row>
    <row r="3" spans="1:8" ht="15">
      <c r="A3" s="2" t="s">
        <v>188</v>
      </c>
      <c r="B3" s="1"/>
      <c r="C3" s="3"/>
      <c r="D3" s="9"/>
      <c r="E3" s="9"/>
      <c r="F3" s="9"/>
      <c r="G3" s="9"/>
      <c r="H3" s="9"/>
    </row>
    <row r="4" spans="1:8" ht="15">
      <c r="A4" s="2" t="s">
        <v>91</v>
      </c>
      <c r="B4" s="1"/>
      <c r="C4" s="3"/>
      <c r="D4" s="9"/>
      <c r="E4" s="9"/>
      <c r="F4" s="9"/>
      <c r="G4" s="9"/>
      <c r="H4" s="9"/>
    </row>
    <row r="5" spans="1:7" s="105" customFormat="1" ht="13.2">
      <c r="A5" s="124"/>
      <c r="B5" s="124"/>
      <c r="C5" s="124"/>
      <c r="D5" s="124"/>
      <c r="E5" s="124"/>
      <c r="F5" s="124"/>
      <c r="G5" s="124"/>
    </row>
    <row r="6" spans="1:7" s="105" customFormat="1" ht="25.05" customHeight="1">
      <c r="A6" s="106"/>
      <c r="B6" s="107"/>
      <c r="C6" s="108" t="s">
        <v>41</v>
      </c>
      <c r="D6" s="435" t="s">
        <v>48</v>
      </c>
      <c r="E6" s="436"/>
      <c r="F6" s="436"/>
      <c r="G6" s="437"/>
    </row>
    <row r="7" spans="1:7" s="105" customFormat="1" ht="27" customHeight="1">
      <c r="A7" s="109">
        <v>1</v>
      </c>
      <c r="B7" s="110"/>
      <c r="C7" s="126" t="s">
        <v>49</v>
      </c>
      <c r="D7" s="111" t="s">
        <v>46</v>
      </c>
      <c r="E7" s="112">
        <v>1</v>
      </c>
      <c r="F7" s="296"/>
      <c r="G7" s="112">
        <f>F7*E7</f>
        <v>0</v>
      </c>
    </row>
    <row r="8" spans="1:7" s="105" customFormat="1" ht="24" customHeight="1">
      <c r="A8" s="109">
        <v>2</v>
      </c>
      <c r="B8" s="110"/>
      <c r="C8" s="113" t="s">
        <v>435</v>
      </c>
      <c r="D8" s="111" t="s">
        <v>46</v>
      </c>
      <c r="E8" s="112">
        <v>1</v>
      </c>
      <c r="F8" s="296"/>
      <c r="G8" s="112">
        <f aca="true" t="shared" si="0" ref="G8:G22">F8*E8</f>
        <v>0</v>
      </c>
    </row>
    <row r="9" spans="1:7" s="105" customFormat="1" ht="13.5" customHeight="1">
      <c r="A9" s="109">
        <v>3</v>
      </c>
      <c r="B9" s="110"/>
      <c r="C9" s="126" t="s">
        <v>50</v>
      </c>
      <c r="D9" s="111" t="s">
        <v>46</v>
      </c>
      <c r="E9" s="112">
        <v>1</v>
      </c>
      <c r="F9" s="296"/>
      <c r="G9" s="112">
        <f t="shared" si="0"/>
        <v>0</v>
      </c>
    </row>
    <row r="10" spans="1:7" s="105" customFormat="1" ht="20.4">
      <c r="A10" s="109">
        <v>4</v>
      </c>
      <c r="B10" s="110"/>
      <c r="C10" s="113" t="s">
        <v>51</v>
      </c>
      <c r="D10" s="111" t="s">
        <v>46</v>
      </c>
      <c r="E10" s="112">
        <v>1</v>
      </c>
      <c r="F10" s="296"/>
      <c r="G10" s="112">
        <f t="shared" si="0"/>
        <v>0</v>
      </c>
    </row>
    <row r="11" spans="1:7" s="105" customFormat="1" ht="20.4">
      <c r="A11" s="109">
        <v>5</v>
      </c>
      <c r="B11" s="110"/>
      <c r="C11" s="113" t="s">
        <v>52</v>
      </c>
      <c r="D11" s="111" t="s">
        <v>46</v>
      </c>
      <c r="E11" s="112">
        <v>1</v>
      </c>
      <c r="F11" s="296"/>
      <c r="G11" s="112">
        <f t="shared" si="0"/>
        <v>0</v>
      </c>
    </row>
    <row r="12" spans="1:7" s="105" customFormat="1" ht="67.5" customHeight="1">
      <c r="A12" s="109">
        <v>6</v>
      </c>
      <c r="B12" s="110"/>
      <c r="C12" s="114" t="s">
        <v>53</v>
      </c>
      <c r="D12" s="111" t="s">
        <v>46</v>
      </c>
      <c r="E12" s="112">
        <v>1</v>
      </c>
      <c r="F12" s="296"/>
      <c r="G12" s="112">
        <f t="shared" si="0"/>
        <v>0</v>
      </c>
    </row>
    <row r="13" spans="1:7" s="105" customFormat="1" ht="20.4">
      <c r="A13" s="109">
        <v>7</v>
      </c>
      <c r="B13" s="110"/>
      <c r="C13" s="113" t="s">
        <v>54</v>
      </c>
      <c r="D13" s="111" t="s">
        <v>46</v>
      </c>
      <c r="E13" s="112">
        <v>1</v>
      </c>
      <c r="F13" s="296"/>
      <c r="G13" s="112">
        <f t="shared" si="0"/>
        <v>0</v>
      </c>
    </row>
    <row r="14" spans="1:7" s="105" customFormat="1" ht="40.8">
      <c r="A14" s="109">
        <v>8</v>
      </c>
      <c r="B14" s="127"/>
      <c r="C14" s="113" t="s">
        <v>55</v>
      </c>
      <c r="D14" s="111" t="s">
        <v>46</v>
      </c>
      <c r="E14" s="112">
        <v>1</v>
      </c>
      <c r="F14" s="296"/>
      <c r="G14" s="112">
        <f t="shared" si="0"/>
        <v>0</v>
      </c>
    </row>
    <row r="15" spans="1:7" s="105" customFormat="1" ht="67.5" customHeight="1">
      <c r="A15" s="109">
        <v>9</v>
      </c>
      <c r="B15" s="128"/>
      <c r="C15" s="129" t="s">
        <v>56</v>
      </c>
      <c r="D15" s="111" t="s">
        <v>46</v>
      </c>
      <c r="E15" s="112">
        <v>1</v>
      </c>
      <c r="F15" s="296"/>
      <c r="G15" s="112">
        <f t="shared" si="0"/>
        <v>0</v>
      </c>
    </row>
    <row r="16" spans="1:7" s="105" customFormat="1" ht="40.5" customHeight="1">
      <c r="A16" s="109">
        <v>10</v>
      </c>
      <c r="B16" s="128"/>
      <c r="C16" s="129" t="s">
        <v>57</v>
      </c>
      <c r="D16" s="111" t="s">
        <v>46</v>
      </c>
      <c r="E16" s="112">
        <v>1</v>
      </c>
      <c r="F16" s="296"/>
      <c r="G16" s="112">
        <f t="shared" si="0"/>
        <v>0</v>
      </c>
    </row>
    <row r="17" spans="1:7" s="105" customFormat="1" ht="20.4">
      <c r="A17" s="109">
        <v>11</v>
      </c>
      <c r="B17" s="110"/>
      <c r="C17" s="113" t="s">
        <v>58</v>
      </c>
      <c r="D17" s="111" t="s">
        <v>46</v>
      </c>
      <c r="E17" s="112">
        <v>1</v>
      </c>
      <c r="F17" s="296"/>
      <c r="G17" s="112">
        <f t="shared" si="0"/>
        <v>0</v>
      </c>
    </row>
    <row r="18" spans="1:7" s="105" customFormat="1" ht="67.5" customHeight="1">
      <c r="A18" s="109">
        <v>12</v>
      </c>
      <c r="B18" s="130"/>
      <c r="C18" s="131" t="s">
        <v>59</v>
      </c>
      <c r="D18" s="111" t="s">
        <v>46</v>
      </c>
      <c r="E18" s="132">
        <v>1</v>
      </c>
      <c r="F18" s="297"/>
      <c r="G18" s="132">
        <f t="shared" si="0"/>
        <v>0</v>
      </c>
    </row>
    <row r="19" spans="1:7" s="105" customFormat="1" ht="54" customHeight="1">
      <c r="A19" s="109">
        <v>13</v>
      </c>
      <c r="B19" s="110"/>
      <c r="C19" s="113" t="s">
        <v>60</v>
      </c>
      <c r="D19" s="111" t="s">
        <v>46</v>
      </c>
      <c r="E19" s="112">
        <v>1</v>
      </c>
      <c r="F19" s="296"/>
      <c r="G19" s="112">
        <f t="shared" si="0"/>
        <v>0</v>
      </c>
    </row>
    <row r="20" spans="1:7" s="105" customFormat="1" ht="54" customHeight="1">
      <c r="A20" s="109">
        <v>14</v>
      </c>
      <c r="B20" s="133"/>
      <c r="C20" s="115" t="s">
        <v>45</v>
      </c>
      <c r="D20" s="111" t="s">
        <v>46</v>
      </c>
      <c r="E20" s="112">
        <v>1</v>
      </c>
      <c r="F20" s="296"/>
      <c r="G20" s="112">
        <f t="shared" si="0"/>
        <v>0</v>
      </c>
    </row>
    <row r="21" spans="1:7" s="105" customFormat="1" ht="24" customHeight="1">
      <c r="A21" s="109">
        <v>15</v>
      </c>
      <c r="B21" s="110"/>
      <c r="C21" s="113" t="s">
        <v>434</v>
      </c>
      <c r="D21" s="111" t="s">
        <v>46</v>
      </c>
      <c r="E21" s="112">
        <v>1</v>
      </c>
      <c r="F21" s="296"/>
      <c r="G21" s="112">
        <f t="shared" si="0"/>
        <v>0</v>
      </c>
    </row>
    <row r="22" spans="1:7" s="105" customFormat="1" ht="33" customHeight="1">
      <c r="A22" s="109">
        <v>16</v>
      </c>
      <c r="B22" s="110"/>
      <c r="C22" s="113" t="s">
        <v>1804</v>
      </c>
      <c r="D22" s="111" t="s">
        <v>46</v>
      </c>
      <c r="E22" s="112">
        <v>1</v>
      </c>
      <c r="F22" s="296"/>
      <c r="G22" s="112">
        <f t="shared" si="0"/>
        <v>0</v>
      </c>
    </row>
    <row r="23" spans="1:7" s="105" customFormat="1" ht="13.5" customHeight="1">
      <c r="A23" s="134"/>
      <c r="B23" s="135" t="s">
        <v>27</v>
      </c>
      <c r="C23" s="136" t="str">
        <f>CONCATENATE(B6," ",C6)</f>
        <v xml:space="preserve"> Vedlejší rozpočtové a ostatní náklady</v>
      </c>
      <c r="D23" s="137"/>
      <c r="E23" s="138"/>
      <c r="F23" s="139"/>
      <c r="G23" s="140">
        <f>SUM(G7:G22)</f>
        <v>0</v>
      </c>
    </row>
    <row r="24" spans="1:7" s="105" customFormat="1" ht="13.2">
      <c r="A24" s="124"/>
      <c r="B24" s="124"/>
      <c r="C24" s="124"/>
      <c r="D24" s="124"/>
      <c r="E24" s="124"/>
      <c r="F24" s="125"/>
      <c r="G24" s="125"/>
    </row>
    <row r="25" spans="1:8" ht="15">
      <c r="A25" s="25" t="s">
        <v>24</v>
      </c>
      <c r="B25" s="25"/>
      <c r="C25" s="25"/>
      <c r="D25" s="25"/>
      <c r="E25" s="25"/>
      <c r="F25" s="25"/>
      <c r="G25" s="25"/>
      <c r="H25" s="25"/>
    </row>
    <row r="26" spans="1:8" ht="27" customHeight="1">
      <c r="A26" s="438" t="s">
        <v>25</v>
      </c>
      <c r="B26" s="438"/>
      <c r="C26" s="438"/>
      <c r="D26" s="438"/>
      <c r="E26" s="438"/>
      <c r="F26" s="438"/>
      <c r="G26" s="438"/>
      <c r="H26" s="25"/>
    </row>
  </sheetData>
  <sheetProtection algorithmName="SHA-512" hashValue="5hoUC6gFJ25vokkTQiFZ90SDXyeZixY1spid3KusbpxHOA+z2OuvzZPg9LWuAgjEmpkamMAB0Lwd1uxQjZnJMQ==" saltValue="EmWL8jUpIJl6FabpurQ8tA==" spinCount="100000" sheet="1" objects="1" scenarios="1"/>
  <mergeCells count="2">
    <mergeCell ref="D6:G6"/>
    <mergeCell ref="A26:G26"/>
  </mergeCells>
  <printOptions/>
  <pageMargins left="0.7086614173228347" right="0.7086614173228347" top="0.7874015748031497" bottom="0.7874015748031497" header="0.31496062992125984" footer="0.31496062992125984"/>
  <pageSetup fitToHeight="99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6"/>
  <sheetViews>
    <sheetView zoomScale="150" zoomScaleNormal="150" workbookViewId="0" topLeftCell="A655">
      <selection activeCell="D769" sqref="D769"/>
    </sheetView>
  </sheetViews>
  <sheetFormatPr defaultColWidth="8.7109375" defaultRowHeight="15"/>
  <cols>
    <col min="1" max="1" width="6.7109375" style="7" customWidth="1"/>
    <col min="2" max="2" width="4.7109375" style="7" customWidth="1"/>
    <col min="3" max="3" width="13.7109375" style="7" customWidth="1"/>
    <col min="4" max="4" width="64.7109375" style="7" customWidth="1"/>
    <col min="5" max="5" width="6.7109375" style="7" customWidth="1"/>
    <col min="6" max="6" width="8.7109375" style="7" customWidth="1"/>
    <col min="7" max="7" width="10.7109375" style="145" customWidth="1"/>
    <col min="8" max="8" width="13.7109375" style="7" customWidth="1"/>
    <col min="10" max="10" width="9.7109375" style="0" bestFit="1" customWidth="1"/>
    <col min="11" max="11" width="13.28125" style="0" bestFit="1" customWidth="1"/>
  </cols>
  <sheetData>
    <row r="1" spans="1:8" ht="21">
      <c r="A1" s="4" t="s">
        <v>1560</v>
      </c>
      <c r="B1" s="5"/>
      <c r="C1" s="5"/>
      <c r="D1" s="5"/>
      <c r="E1" s="5"/>
      <c r="F1" s="5"/>
      <c r="G1" s="5"/>
      <c r="H1" s="5"/>
    </row>
    <row r="2" spans="1:8" ht="15">
      <c r="A2" s="2" t="s">
        <v>1803</v>
      </c>
      <c r="B2" s="2"/>
      <c r="C2" s="6"/>
      <c r="D2" s="6"/>
      <c r="E2" s="6"/>
      <c r="F2" s="6"/>
      <c r="G2" s="5"/>
      <c r="H2" s="5"/>
    </row>
    <row r="3" spans="1:8" ht="15">
      <c r="A3" s="2" t="s">
        <v>188</v>
      </c>
      <c r="B3" s="1"/>
      <c r="C3" s="3"/>
      <c r="D3" s="9"/>
      <c r="E3" s="9"/>
      <c r="F3" s="9"/>
      <c r="G3" s="9"/>
      <c r="H3" s="9"/>
    </row>
    <row r="4" spans="1:8" ht="15">
      <c r="A4" s="2" t="s">
        <v>92</v>
      </c>
      <c r="B4" s="1"/>
      <c r="C4" s="3"/>
      <c r="D4" s="9"/>
      <c r="E4" s="9"/>
      <c r="F4" s="9"/>
      <c r="G4" s="9"/>
      <c r="H4" s="9"/>
    </row>
    <row r="5" spans="1:8" ht="15">
      <c r="A5" s="2"/>
      <c r="B5" s="1"/>
      <c r="C5" s="3"/>
      <c r="D5" s="9"/>
      <c r="E5" s="9"/>
      <c r="F5" s="9"/>
      <c r="G5" s="142"/>
      <c r="H5" s="9"/>
    </row>
    <row r="6" spans="1:8" ht="21.6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143" t="s">
        <v>6</v>
      </c>
      <c r="H6" s="8" t="s">
        <v>7</v>
      </c>
    </row>
    <row r="7" spans="1:8" ht="15">
      <c r="A7" s="8" t="s">
        <v>8</v>
      </c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143" t="s">
        <v>14</v>
      </c>
      <c r="H7" s="8">
        <v>8</v>
      </c>
    </row>
    <row r="8" spans="1:8" ht="15">
      <c r="A8" s="185"/>
      <c r="B8" s="11"/>
      <c r="C8" s="11" t="s">
        <v>15</v>
      </c>
      <c r="D8" s="11" t="s">
        <v>16</v>
      </c>
      <c r="E8" s="11"/>
      <c r="F8" s="12"/>
      <c r="G8" s="13"/>
      <c r="H8" s="13">
        <f>H9+H39+H54+H74+H122+H190</f>
        <v>0</v>
      </c>
    </row>
    <row r="9" spans="1:8" ht="15">
      <c r="A9" s="183"/>
      <c r="B9" s="15"/>
      <c r="C9" s="15">
        <v>1</v>
      </c>
      <c r="D9" s="15" t="s">
        <v>111</v>
      </c>
      <c r="E9" s="15"/>
      <c r="F9" s="16"/>
      <c r="G9" s="17"/>
      <c r="H9" s="17">
        <f>SUM(H10:H38)</f>
        <v>0</v>
      </c>
    </row>
    <row r="10" spans="1:10" s="118" customFormat="1" ht="13.8">
      <c r="A10" s="146" t="s">
        <v>8</v>
      </c>
      <c r="B10" s="31" t="s">
        <v>114</v>
      </c>
      <c r="C10" s="26">
        <v>131213711</v>
      </c>
      <c r="D10" s="26" t="s">
        <v>243</v>
      </c>
      <c r="E10" s="26" t="s">
        <v>17</v>
      </c>
      <c r="F10" s="27">
        <f>SUM(F11:F16)</f>
        <v>174.94000000000003</v>
      </c>
      <c r="G10" s="298"/>
      <c r="H10" s="28">
        <f>F10*G10</f>
        <v>0</v>
      </c>
      <c r="J10" s="120"/>
    </row>
    <row r="11" spans="1:10" s="121" customFormat="1" ht="13.8">
      <c r="A11" s="182"/>
      <c r="B11" s="26"/>
      <c r="C11" s="26"/>
      <c r="D11" s="29" t="s">
        <v>775</v>
      </c>
      <c r="E11" s="26"/>
      <c r="F11" s="30">
        <f>60*0.8</f>
        <v>48</v>
      </c>
      <c r="G11" s="298"/>
      <c r="H11" s="28"/>
      <c r="J11" s="120"/>
    </row>
    <row r="12" spans="1:10" s="121" customFormat="1" ht="13.8">
      <c r="A12" s="182"/>
      <c r="B12" s="26"/>
      <c r="C12" s="26"/>
      <c r="D12" s="29" t="s">
        <v>773</v>
      </c>
      <c r="E12" s="26"/>
      <c r="F12" s="30">
        <v>50</v>
      </c>
      <c r="G12" s="298"/>
      <c r="H12" s="28"/>
      <c r="J12" s="120"/>
    </row>
    <row r="13" spans="1:10" s="121" customFormat="1" ht="13.8">
      <c r="A13" s="182"/>
      <c r="B13" s="26"/>
      <c r="C13" s="26"/>
      <c r="D13" s="29" t="s">
        <v>774</v>
      </c>
      <c r="E13" s="26"/>
      <c r="F13" s="30">
        <v>50</v>
      </c>
      <c r="G13" s="298"/>
      <c r="H13" s="28"/>
      <c r="J13" s="120"/>
    </row>
    <row r="14" spans="1:10" s="121" customFormat="1" ht="13.8">
      <c r="A14" s="182"/>
      <c r="B14" s="26"/>
      <c r="C14" s="26"/>
      <c r="D14" s="29" t="s">
        <v>776</v>
      </c>
      <c r="E14" s="26"/>
      <c r="F14" s="30">
        <f>2*(0.8*0.8*1)+1.2*0.8*1</f>
        <v>2.24</v>
      </c>
      <c r="G14" s="298"/>
      <c r="H14" s="28"/>
      <c r="J14" s="120"/>
    </row>
    <row r="15" spans="1:10" s="121" customFormat="1" ht="13.8">
      <c r="A15" s="182"/>
      <c r="B15" s="26"/>
      <c r="C15" s="26"/>
      <c r="D15" s="29" t="s">
        <v>778</v>
      </c>
      <c r="E15" s="26"/>
      <c r="F15" s="30">
        <f>0.3*0.5*1.8</f>
        <v>0.27</v>
      </c>
      <c r="G15" s="298"/>
      <c r="H15" s="28"/>
      <c r="J15" s="120"/>
    </row>
    <row r="16" spans="1:10" s="121" customFormat="1" ht="13.8">
      <c r="A16" s="182"/>
      <c r="B16" s="26"/>
      <c r="C16" s="26"/>
      <c r="D16" s="29" t="s">
        <v>777</v>
      </c>
      <c r="E16" s="26"/>
      <c r="F16" s="30">
        <f>0.5*0.7*(14.8+22+16.5+16.5)</f>
        <v>24.429999999999996</v>
      </c>
      <c r="G16" s="298"/>
      <c r="H16" s="28"/>
      <c r="J16" s="120"/>
    </row>
    <row r="17" spans="1:10" s="118" customFormat="1" ht="13.8">
      <c r="A17" s="146" t="s">
        <v>9</v>
      </c>
      <c r="B17" s="31">
        <v>151</v>
      </c>
      <c r="C17" s="26" t="s">
        <v>392</v>
      </c>
      <c r="D17" s="26" t="s">
        <v>393</v>
      </c>
      <c r="E17" s="26" t="s">
        <v>18</v>
      </c>
      <c r="F17" s="27">
        <f>4*(48+50+50)+1.6*(14.8+22+16.5+16.5)</f>
        <v>703.6800000000001</v>
      </c>
      <c r="G17" s="298"/>
      <c r="H17" s="28">
        <f>F17*G17</f>
        <v>0</v>
      </c>
      <c r="J17" s="120"/>
    </row>
    <row r="18" spans="1:12" s="118" customFormat="1" ht="13.8">
      <c r="A18" s="146" t="s">
        <v>10</v>
      </c>
      <c r="B18" s="31">
        <v>151</v>
      </c>
      <c r="C18" s="26" t="s">
        <v>394</v>
      </c>
      <c r="D18" s="26" t="s">
        <v>395</v>
      </c>
      <c r="E18" s="26" t="s">
        <v>18</v>
      </c>
      <c r="F18" s="27">
        <f>F17</f>
        <v>703.6800000000001</v>
      </c>
      <c r="G18" s="298"/>
      <c r="H18" s="28">
        <f>F18*G18</f>
        <v>0</v>
      </c>
      <c r="J18" s="120"/>
      <c r="L18" s="118" t="s">
        <v>93</v>
      </c>
    </row>
    <row r="19" spans="1:10" s="118" customFormat="1" ht="13.8">
      <c r="A19" s="146" t="s">
        <v>11</v>
      </c>
      <c r="B19" s="31">
        <v>151</v>
      </c>
      <c r="C19" s="26">
        <v>151101301</v>
      </c>
      <c r="D19" s="26" t="s">
        <v>396</v>
      </c>
      <c r="E19" s="26" t="s">
        <v>17</v>
      </c>
      <c r="F19" s="27">
        <f>F10</f>
        <v>174.94000000000003</v>
      </c>
      <c r="G19" s="298"/>
      <c r="H19" s="28">
        <f>F19*G19</f>
        <v>0</v>
      </c>
      <c r="J19" s="120"/>
    </row>
    <row r="20" spans="1:10" s="118" customFormat="1" ht="13.8">
      <c r="A20" s="146" t="s">
        <v>12</v>
      </c>
      <c r="B20" s="31">
        <v>151</v>
      </c>
      <c r="C20" s="26" t="s">
        <v>397</v>
      </c>
      <c r="D20" s="26" t="s">
        <v>398</v>
      </c>
      <c r="E20" s="26" t="s">
        <v>17</v>
      </c>
      <c r="F20" s="27">
        <f>F19</f>
        <v>174.94000000000003</v>
      </c>
      <c r="G20" s="298"/>
      <c r="H20" s="28">
        <f>F20*G20</f>
        <v>0</v>
      </c>
      <c r="J20" s="120"/>
    </row>
    <row r="21" spans="1:10" s="118" customFormat="1" ht="13.8">
      <c r="A21" s="146" t="s">
        <v>13</v>
      </c>
      <c r="B21" s="31">
        <v>161</v>
      </c>
      <c r="C21" s="26">
        <v>161151103</v>
      </c>
      <c r="D21" s="26" t="s">
        <v>112</v>
      </c>
      <c r="E21" s="26" t="s">
        <v>17</v>
      </c>
      <c r="F21" s="27">
        <f>F22</f>
        <v>174.94000000000003</v>
      </c>
      <c r="G21" s="298"/>
      <c r="H21" s="28">
        <f>F21*G21</f>
        <v>0</v>
      </c>
      <c r="J21" s="120"/>
    </row>
    <row r="22" spans="1:10" s="121" customFormat="1" ht="13.8">
      <c r="A22" s="182"/>
      <c r="B22" s="26"/>
      <c r="C22" s="26"/>
      <c r="D22" s="29" t="s">
        <v>113</v>
      </c>
      <c r="E22" s="26"/>
      <c r="F22" s="30">
        <f>F10</f>
        <v>174.94000000000003</v>
      </c>
      <c r="G22" s="298"/>
      <c r="H22" s="28"/>
      <c r="J22" s="120"/>
    </row>
    <row r="23" spans="1:10" s="118" customFormat="1" ht="21">
      <c r="A23" s="146" t="s">
        <v>14</v>
      </c>
      <c r="B23" s="31">
        <v>162</v>
      </c>
      <c r="C23" s="26">
        <v>162211311</v>
      </c>
      <c r="D23" s="26" t="s">
        <v>115</v>
      </c>
      <c r="E23" s="26" t="s">
        <v>17</v>
      </c>
      <c r="F23" s="27">
        <f>F24</f>
        <v>174.94000000000003</v>
      </c>
      <c r="G23" s="298"/>
      <c r="H23" s="28">
        <f>F23*G23</f>
        <v>0</v>
      </c>
      <c r="J23" s="120"/>
    </row>
    <row r="24" spans="1:10" s="121" customFormat="1" ht="13.8">
      <c r="A24" s="182"/>
      <c r="B24" s="26"/>
      <c r="C24" s="26"/>
      <c r="D24" s="29" t="s">
        <v>116</v>
      </c>
      <c r="E24" s="26"/>
      <c r="F24" s="30">
        <f>F10</f>
        <v>174.94000000000003</v>
      </c>
      <c r="G24" s="298"/>
      <c r="H24" s="28"/>
      <c r="J24" s="120"/>
    </row>
    <row r="25" spans="1:10" s="118" customFormat="1" ht="28.05" customHeight="1">
      <c r="A25" s="146" t="s">
        <v>355</v>
      </c>
      <c r="B25" s="31">
        <v>162</v>
      </c>
      <c r="C25" s="26" t="s">
        <v>399</v>
      </c>
      <c r="D25" s="26" t="s">
        <v>400</v>
      </c>
      <c r="E25" s="26" t="s">
        <v>17</v>
      </c>
      <c r="F25" s="27">
        <f>F26</f>
        <v>3498.8</v>
      </c>
      <c r="G25" s="298"/>
      <c r="H25" s="28">
        <f>F25*G25</f>
        <v>0</v>
      </c>
      <c r="J25" s="120"/>
    </row>
    <row r="26" spans="1:10" s="121" customFormat="1" ht="13.8">
      <c r="A26" s="182"/>
      <c r="B26" s="26"/>
      <c r="C26" s="26"/>
      <c r="D26" s="29" t="s">
        <v>780</v>
      </c>
      <c r="E26" s="26"/>
      <c r="F26" s="30">
        <f>20*174.94</f>
        <v>3498.8</v>
      </c>
      <c r="G26" s="298"/>
      <c r="H26" s="28"/>
      <c r="J26" s="120"/>
    </row>
    <row r="27" spans="1:10" s="118" customFormat="1" ht="21">
      <c r="A27" s="146" t="s">
        <v>356</v>
      </c>
      <c r="B27" s="31">
        <v>162</v>
      </c>
      <c r="C27" s="26" t="s">
        <v>401</v>
      </c>
      <c r="D27" s="26" t="s">
        <v>402</v>
      </c>
      <c r="E27" s="26" t="s">
        <v>17</v>
      </c>
      <c r="F27" s="27">
        <f>F28</f>
        <v>25</v>
      </c>
      <c r="G27" s="298"/>
      <c r="H27" s="28">
        <f>F27*G27</f>
        <v>0</v>
      </c>
      <c r="J27" s="120"/>
    </row>
    <row r="28" spans="1:10" s="121" customFormat="1" ht="13.8">
      <c r="A28" s="182"/>
      <c r="B28" s="26"/>
      <c r="C28" s="26"/>
      <c r="D28" s="29" t="s">
        <v>782</v>
      </c>
      <c r="E28" s="26"/>
      <c r="F28" s="30">
        <f>175-150</f>
        <v>25</v>
      </c>
      <c r="G28" s="298"/>
      <c r="H28" s="28"/>
      <c r="J28" s="120"/>
    </row>
    <row r="29" spans="1:10" s="118" customFormat="1" ht="27" customHeight="1">
      <c r="A29" s="146" t="s">
        <v>182</v>
      </c>
      <c r="B29" s="31">
        <v>162</v>
      </c>
      <c r="C29" s="26">
        <v>162751119</v>
      </c>
      <c r="D29" s="26" t="s">
        <v>403</v>
      </c>
      <c r="E29" s="26" t="s">
        <v>17</v>
      </c>
      <c r="F29" s="27">
        <f>F30</f>
        <v>250</v>
      </c>
      <c r="G29" s="298"/>
      <c r="H29" s="28">
        <f>F29*G29</f>
        <v>0</v>
      </c>
      <c r="J29" s="120"/>
    </row>
    <row r="30" spans="1:10" s="121" customFormat="1" ht="13.8">
      <c r="A30" s="182"/>
      <c r="B30" s="26"/>
      <c r="C30" s="26"/>
      <c r="D30" s="29" t="s">
        <v>783</v>
      </c>
      <c r="E30" s="26"/>
      <c r="F30" s="30">
        <f>10*25</f>
        <v>250</v>
      </c>
      <c r="G30" s="298"/>
      <c r="H30" s="28"/>
      <c r="J30" s="120"/>
    </row>
    <row r="31" spans="1:10" s="118" customFormat="1" ht="13.8">
      <c r="A31" s="146" t="s">
        <v>357</v>
      </c>
      <c r="B31" s="31">
        <v>171</v>
      </c>
      <c r="C31" s="26" t="s">
        <v>404</v>
      </c>
      <c r="D31" s="26" t="s">
        <v>405</v>
      </c>
      <c r="E31" s="26" t="s">
        <v>18</v>
      </c>
      <c r="F31" s="27">
        <f>F32</f>
        <v>3.14</v>
      </c>
      <c r="G31" s="298"/>
      <c r="H31" s="28">
        <f>F31*G31</f>
        <v>0</v>
      </c>
      <c r="J31" s="120"/>
    </row>
    <row r="32" spans="1:10" s="121" customFormat="1" ht="13.8">
      <c r="A32" s="182"/>
      <c r="B32" s="26"/>
      <c r="C32" s="26"/>
      <c r="D32" s="29" t="s">
        <v>779</v>
      </c>
      <c r="E32" s="26"/>
      <c r="F32" s="30">
        <f>2*(0.8*0.8)+1.2*0.8+1.8*0.5</f>
        <v>3.14</v>
      </c>
      <c r="G32" s="298"/>
      <c r="H32" s="28"/>
      <c r="J32" s="120"/>
    </row>
    <row r="33" spans="1:10" s="118" customFormat="1" ht="13.8">
      <c r="A33" s="146" t="s">
        <v>358</v>
      </c>
      <c r="B33" s="31">
        <v>171</v>
      </c>
      <c r="C33" s="26" t="s">
        <v>406</v>
      </c>
      <c r="D33" s="26" t="s">
        <v>407</v>
      </c>
      <c r="E33" s="26" t="s">
        <v>130</v>
      </c>
      <c r="F33" s="27">
        <f>F34</f>
        <v>37.5</v>
      </c>
      <c r="G33" s="298"/>
      <c r="H33" s="28">
        <f>F33*G33</f>
        <v>0</v>
      </c>
      <c r="J33" s="120"/>
    </row>
    <row r="34" spans="1:10" s="121" customFormat="1" ht="13.8">
      <c r="A34" s="182"/>
      <c r="B34" s="26"/>
      <c r="C34" s="26"/>
      <c r="D34" s="29" t="s">
        <v>781</v>
      </c>
      <c r="E34" s="26"/>
      <c r="F34" s="30">
        <f>(175-150)*1.5</f>
        <v>37.5</v>
      </c>
      <c r="G34" s="298"/>
      <c r="H34" s="28"/>
      <c r="J34" s="120"/>
    </row>
    <row r="35" spans="1:10" s="118" customFormat="1" ht="13.8">
      <c r="A35" s="146" t="s">
        <v>359</v>
      </c>
      <c r="B35" s="31">
        <v>171</v>
      </c>
      <c r="C35" s="26">
        <v>171251201</v>
      </c>
      <c r="D35" s="26" t="s">
        <v>117</v>
      </c>
      <c r="E35" s="26" t="s">
        <v>17</v>
      </c>
      <c r="F35" s="27">
        <f>F36</f>
        <v>174.94000000000003</v>
      </c>
      <c r="G35" s="298"/>
      <c r="H35" s="28">
        <f>F35*G35</f>
        <v>0</v>
      </c>
      <c r="J35" s="120"/>
    </row>
    <row r="36" spans="1:10" s="121" customFormat="1" ht="13.8">
      <c r="A36" s="182"/>
      <c r="B36" s="26"/>
      <c r="C36" s="26"/>
      <c r="D36" s="29" t="s">
        <v>118</v>
      </c>
      <c r="E36" s="26"/>
      <c r="F36" s="30">
        <f>F10</f>
        <v>174.94000000000003</v>
      </c>
      <c r="G36" s="298"/>
      <c r="H36" s="28"/>
      <c r="J36" s="120"/>
    </row>
    <row r="37" spans="1:10" s="118" customFormat="1" ht="13.8">
      <c r="A37" s="146" t="s">
        <v>360</v>
      </c>
      <c r="B37" s="31">
        <v>174</v>
      </c>
      <c r="C37" s="26">
        <v>174151101</v>
      </c>
      <c r="D37" s="26" t="s">
        <v>119</v>
      </c>
      <c r="E37" s="26" t="s">
        <v>17</v>
      </c>
      <c r="F37" s="27">
        <f>F38</f>
        <v>150</v>
      </c>
      <c r="G37" s="298"/>
      <c r="H37" s="28">
        <f>F37*G37</f>
        <v>0</v>
      </c>
      <c r="J37" s="120"/>
    </row>
    <row r="38" spans="1:10" s="121" customFormat="1" ht="13.8">
      <c r="A38" s="182"/>
      <c r="B38" s="26"/>
      <c r="C38" s="26"/>
      <c r="D38" s="29" t="s">
        <v>347</v>
      </c>
      <c r="E38" s="26"/>
      <c r="F38" s="30">
        <v>150</v>
      </c>
      <c r="G38" s="298"/>
      <c r="H38" s="28"/>
      <c r="J38" s="120"/>
    </row>
    <row r="39" spans="1:8" ht="15">
      <c r="A39" s="183"/>
      <c r="B39" s="15"/>
      <c r="C39" s="15">
        <v>2</v>
      </c>
      <c r="D39" s="15" t="s">
        <v>266</v>
      </c>
      <c r="E39" s="15"/>
      <c r="F39" s="16"/>
      <c r="G39" s="299"/>
      <c r="H39" s="17">
        <f>SUM(H40:H53)</f>
        <v>0</v>
      </c>
    </row>
    <row r="40" spans="1:10" s="118" customFormat="1" ht="13.8">
      <c r="A40" s="146" t="s">
        <v>361</v>
      </c>
      <c r="B40" s="31">
        <v>273</v>
      </c>
      <c r="C40" s="26">
        <v>273321411</v>
      </c>
      <c r="D40" s="26" t="s">
        <v>267</v>
      </c>
      <c r="E40" s="26" t="s">
        <v>17</v>
      </c>
      <c r="F40" s="27">
        <f>SUM(F41:F41)</f>
        <v>10</v>
      </c>
      <c r="G40" s="298"/>
      <c r="H40" s="28">
        <f>F40*G40</f>
        <v>0</v>
      </c>
      <c r="J40" s="120"/>
    </row>
    <row r="41" spans="1:10" s="121" customFormat="1" ht="13.8">
      <c r="A41" s="182"/>
      <c r="B41" s="26"/>
      <c r="C41" s="26"/>
      <c r="D41" s="29" t="s">
        <v>789</v>
      </c>
      <c r="E41" s="26"/>
      <c r="F41" s="30">
        <f>50*0.2*1</f>
        <v>10</v>
      </c>
      <c r="G41" s="298"/>
      <c r="H41" s="28"/>
      <c r="J41" s="120"/>
    </row>
    <row r="42" spans="1:10" s="118" customFormat="1" ht="13.8">
      <c r="A42" s="146" t="s">
        <v>362</v>
      </c>
      <c r="B42" s="31">
        <v>273</v>
      </c>
      <c r="C42" s="26">
        <v>273351121</v>
      </c>
      <c r="D42" s="26" t="s">
        <v>268</v>
      </c>
      <c r="E42" s="26" t="s">
        <v>18</v>
      </c>
      <c r="F42" s="27">
        <f>0.6*50</f>
        <v>30</v>
      </c>
      <c r="G42" s="298"/>
      <c r="H42" s="28">
        <f>F42*G42</f>
        <v>0</v>
      </c>
      <c r="J42" s="120"/>
    </row>
    <row r="43" spans="1:10" s="118" customFormat="1" ht="13.8">
      <c r="A43" s="146" t="s">
        <v>183</v>
      </c>
      <c r="B43" s="31">
        <v>273</v>
      </c>
      <c r="C43" s="26">
        <v>273351122</v>
      </c>
      <c r="D43" s="26" t="s">
        <v>269</v>
      </c>
      <c r="E43" s="26" t="s">
        <v>18</v>
      </c>
      <c r="F43" s="27">
        <f>F42</f>
        <v>30</v>
      </c>
      <c r="G43" s="298"/>
      <c r="H43" s="28">
        <f>F43*G43</f>
        <v>0</v>
      </c>
      <c r="J43" s="120"/>
    </row>
    <row r="44" spans="1:10" s="118" customFormat="1" ht="13.8">
      <c r="A44" s="146" t="s">
        <v>184</v>
      </c>
      <c r="B44" s="31" t="s">
        <v>271</v>
      </c>
      <c r="C44" s="26">
        <v>273362021</v>
      </c>
      <c r="D44" s="26" t="s">
        <v>270</v>
      </c>
      <c r="E44" s="26" t="s">
        <v>130</v>
      </c>
      <c r="F44" s="27">
        <f>F45</f>
        <v>0.36</v>
      </c>
      <c r="G44" s="298"/>
      <c r="H44" s="28">
        <f>F44*G44</f>
        <v>0</v>
      </c>
      <c r="J44" s="120"/>
    </row>
    <row r="45" spans="1:10" s="121" customFormat="1" ht="13.8">
      <c r="A45" s="182"/>
      <c r="B45" s="26"/>
      <c r="C45" s="26"/>
      <c r="D45" s="29" t="s">
        <v>790</v>
      </c>
      <c r="E45" s="26"/>
      <c r="F45" s="30">
        <f>1.2*((50*6)/1000)</f>
        <v>0.36</v>
      </c>
      <c r="G45" s="298"/>
      <c r="H45" s="28"/>
      <c r="J45" s="120"/>
    </row>
    <row r="46" spans="1:10" s="118" customFormat="1" ht="13.8">
      <c r="A46" s="146" t="s">
        <v>363</v>
      </c>
      <c r="B46" s="31" t="s">
        <v>272</v>
      </c>
      <c r="C46" s="26">
        <v>274313711</v>
      </c>
      <c r="D46" s="26" t="s">
        <v>275</v>
      </c>
      <c r="E46" s="26" t="s">
        <v>17</v>
      </c>
      <c r="F46" s="27">
        <f>F47</f>
        <v>0.6449999999999999</v>
      </c>
      <c r="G46" s="298"/>
      <c r="H46" s="28">
        <f>F46*G46</f>
        <v>0</v>
      </c>
      <c r="J46" s="120"/>
    </row>
    <row r="47" spans="1:10" s="121" customFormat="1" ht="13.8">
      <c r="A47" s="182"/>
      <c r="B47" s="26"/>
      <c r="C47" s="26"/>
      <c r="D47" s="29" t="s">
        <v>784</v>
      </c>
      <c r="E47" s="26"/>
      <c r="F47" s="30">
        <f>0.3*0.5*4.3</f>
        <v>0.6449999999999999</v>
      </c>
      <c r="G47" s="298"/>
      <c r="H47" s="28"/>
      <c r="J47" s="120"/>
    </row>
    <row r="48" spans="1:10" s="118" customFormat="1" ht="13.8">
      <c r="A48" s="146" t="s">
        <v>364</v>
      </c>
      <c r="B48" s="31" t="s">
        <v>272</v>
      </c>
      <c r="C48" s="26">
        <v>274351121</v>
      </c>
      <c r="D48" s="26" t="s">
        <v>273</v>
      </c>
      <c r="E48" s="26" t="s">
        <v>18</v>
      </c>
      <c r="F48" s="27">
        <v>7.2</v>
      </c>
      <c r="G48" s="298"/>
      <c r="H48" s="28">
        <f>F48*G48</f>
        <v>0</v>
      </c>
      <c r="J48" s="120"/>
    </row>
    <row r="49" spans="1:10" s="118" customFormat="1" ht="13.8">
      <c r="A49" s="146" t="s">
        <v>365</v>
      </c>
      <c r="B49" s="31" t="s">
        <v>272</v>
      </c>
      <c r="C49" s="26">
        <v>274351122</v>
      </c>
      <c r="D49" s="26" t="s">
        <v>274</v>
      </c>
      <c r="E49" s="26" t="s">
        <v>18</v>
      </c>
      <c r="F49" s="27">
        <f>F48</f>
        <v>7.2</v>
      </c>
      <c r="G49" s="298"/>
      <c r="H49" s="28">
        <f>F49*G49</f>
        <v>0</v>
      </c>
      <c r="J49" s="120"/>
    </row>
    <row r="50" spans="1:10" s="118" customFormat="1" ht="13.8">
      <c r="A50" s="146" t="s">
        <v>366</v>
      </c>
      <c r="B50" s="31" t="s">
        <v>272</v>
      </c>
      <c r="C50" s="26">
        <v>275313711</v>
      </c>
      <c r="D50" s="26" t="s">
        <v>785</v>
      </c>
      <c r="E50" s="26" t="s">
        <v>17</v>
      </c>
      <c r="F50" s="27">
        <f>F51</f>
        <v>2.24</v>
      </c>
      <c r="G50" s="298"/>
      <c r="H50" s="28">
        <f>F50*G50</f>
        <v>0</v>
      </c>
      <c r="J50" s="120"/>
    </row>
    <row r="51" spans="1:10" s="121" customFormat="1" ht="13.8">
      <c r="A51" s="182"/>
      <c r="B51" s="26"/>
      <c r="C51" s="26"/>
      <c r="D51" s="29" t="s">
        <v>786</v>
      </c>
      <c r="E51" s="26"/>
      <c r="F51" s="30">
        <f>2*(1*0.8*0.8)+1.2*0.8*1</f>
        <v>2.24</v>
      </c>
      <c r="G51" s="298"/>
      <c r="H51" s="28"/>
      <c r="J51" s="120"/>
    </row>
    <row r="52" spans="1:10" s="118" customFormat="1" ht="13.8">
      <c r="A52" s="146" t="s">
        <v>367</v>
      </c>
      <c r="B52" s="31">
        <v>274</v>
      </c>
      <c r="C52" s="26">
        <v>275351121</v>
      </c>
      <c r="D52" s="26" t="s">
        <v>787</v>
      </c>
      <c r="E52" s="26" t="s">
        <v>18</v>
      </c>
      <c r="F52" s="27">
        <f>1.2*(3.2+3.2+1.6+2.4)</f>
        <v>12.48</v>
      </c>
      <c r="G52" s="298"/>
      <c r="H52" s="28">
        <f>F52*G52</f>
        <v>0</v>
      </c>
      <c r="J52" s="120"/>
    </row>
    <row r="53" spans="1:10" s="118" customFormat="1" ht="13.8">
      <c r="A53" s="146" t="s">
        <v>368</v>
      </c>
      <c r="B53" s="31">
        <v>274</v>
      </c>
      <c r="C53" s="26">
        <v>275351122</v>
      </c>
      <c r="D53" s="26" t="s">
        <v>788</v>
      </c>
      <c r="E53" s="26" t="s">
        <v>18</v>
      </c>
      <c r="F53" s="27">
        <f>F52</f>
        <v>12.48</v>
      </c>
      <c r="G53" s="298"/>
      <c r="H53" s="28">
        <f>F53*G53</f>
        <v>0</v>
      </c>
      <c r="J53" s="120"/>
    </row>
    <row r="54" spans="1:8" ht="15">
      <c r="A54" s="183"/>
      <c r="B54" s="15"/>
      <c r="C54" s="15">
        <v>3</v>
      </c>
      <c r="D54" s="15" t="s">
        <v>120</v>
      </c>
      <c r="E54" s="15"/>
      <c r="F54" s="16"/>
      <c r="G54" s="299"/>
      <c r="H54" s="17">
        <f>SUM(H55:H73)</f>
        <v>0</v>
      </c>
    </row>
    <row r="55" spans="1:10" s="118" customFormat="1" ht="24" customHeight="1">
      <c r="A55" s="146" t="s">
        <v>369</v>
      </c>
      <c r="B55" s="31" t="s">
        <v>276</v>
      </c>
      <c r="C55" s="26">
        <v>311272131</v>
      </c>
      <c r="D55" s="26" t="s">
        <v>792</v>
      </c>
      <c r="E55" s="26" t="s">
        <v>18</v>
      </c>
      <c r="F55" s="27">
        <f>SUM(F56:F57)</f>
        <v>111.93599999999999</v>
      </c>
      <c r="G55" s="298"/>
      <c r="H55" s="28">
        <f>F55*G55</f>
        <v>0</v>
      </c>
      <c r="J55" s="120"/>
    </row>
    <row r="56" spans="1:10" s="121" customFormat="1" ht="34.95" customHeight="1">
      <c r="A56" s="182"/>
      <c r="B56" s="26"/>
      <c r="C56" s="26"/>
      <c r="D56" s="29" t="s">
        <v>795</v>
      </c>
      <c r="E56" s="26"/>
      <c r="F56" s="30">
        <f>1.1*(3*(1.2+1.2+1.2+1.2+0.3+0.6+0.3+0.3+0.3+1+0.5+0.5+0.2+0.6)+0.8*(1.2+1.2+3.6+3.6+1.5+13.8+2.4+0.6+6+4.2+1.8))</f>
        <v>66.13199999999999</v>
      </c>
      <c r="G56" s="298"/>
      <c r="H56" s="28"/>
      <c r="J56" s="120"/>
    </row>
    <row r="57" spans="1:10" s="121" customFormat="1" ht="25.05" customHeight="1">
      <c r="A57" s="182"/>
      <c r="B57" s="26"/>
      <c r="C57" s="26"/>
      <c r="D57" s="29" t="s">
        <v>791</v>
      </c>
      <c r="E57" s="26"/>
      <c r="F57" s="30">
        <f>1.1*(3*(0.3+0.6+0.3+0.6+0.3+1.2+1.2+1.7)+0.8*(13.8-1.2+1.2+1.2+6+4.2+3.6))</f>
        <v>45.804</v>
      </c>
      <c r="G57" s="298"/>
      <c r="H57" s="28"/>
      <c r="J57" s="120"/>
    </row>
    <row r="58" spans="1:10" s="118" customFormat="1" ht="21">
      <c r="A58" s="146" t="s">
        <v>370</v>
      </c>
      <c r="B58" s="31">
        <v>317</v>
      </c>
      <c r="C58" s="26">
        <v>317142422</v>
      </c>
      <c r="D58" s="26" t="s">
        <v>736</v>
      </c>
      <c r="E58" s="26" t="s">
        <v>26</v>
      </c>
      <c r="F58" s="27">
        <f>SUM(F59:F60)</f>
        <v>11</v>
      </c>
      <c r="G58" s="298"/>
      <c r="H58" s="28">
        <f>F58*G58</f>
        <v>0</v>
      </c>
      <c r="J58" s="120"/>
    </row>
    <row r="59" spans="1:10" s="121" customFormat="1" ht="13.8">
      <c r="A59" s="182"/>
      <c r="B59" s="26"/>
      <c r="C59" s="26"/>
      <c r="D59" s="29" t="s">
        <v>737</v>
      </c>
      <c r="E59" s="26"/>
      <c r="F59" s="30">
        <v>5</v>
      </c>
      <c r="G59" s="298"/>
      <c r="H59" s="28"/>
      <c r="J59" s="120"/>
    </row>
    <row r="60" spans="1:10" s="121" customFormat="1" ht="13.8">
      <c r="A60" s="182"/>
      <c r="B60" s="26"/>
      <c r="C60" s="26"/>
      <c r="D60" s="29" t="s">
        <v>738</v>
      </c>
      <c r="E60" s="26"/>
      <c r="F60" s="30">
        <v>6</v>
      </c>
      <c r="G60" s="298"/>
      <c r="H60" s="28"/>
      <c r="J60" s="120"/>
    </row>
    <row r="61" spans="1:10" s="118" customFormat="1" ht="21">
      <c r="A61" s="146" t="s">
        <v>371</v>
      </c>
      <c r="B61" s="31">
        <v>317</v>
      </c>
      <c r="C61" s="26">
        <v>317142442</v>
      </c>
      <c r="D61" s="26" t="s">
        <v>739</v>
      </c>
      <c r="E61" s="26" t="s">
        <v>26</v>
      </c>
      <c r="F61" s="27">
        <f>F62</f>
        <v>2</v>
      </c>
      <c r="G61" s="298"/>
      <c r="H61" s="28">
        <f>F61*G61</f>
        <v>0</v>
      </c>
      <c r="J61" s="120"/>
    </row>
    <row r="62" spans="1:10" s="121" customFormat="1" ht="13.8">
      <c r="A62" s="182"/>
      <c r="B62" s="26"/>
      <c r="C62" s="26"/>
      <c r="D62" s="29" t="s">
        <v>740</v>
      </c>
      <c r="E62" s="26"/>
      <c r="F62" s="30">
        <v>2</v>
      </c>
      <c r="G62" s="298"/>
      <c r="H62" s="28"/>
      <c r="J62" s="120"/>
    </row>
    <row r="63" spans="1:10" s="118" customFormat="1" ht="21">
      <c r="A63" s="146" t="s">
        <v>372</v>
      </c>
      <c r="B63" s="31">
        <v>317</v>
      </c>
      <c r="C63" s="26">
        <v>317941121</v>
      </c>
      <c r="D63" s="26" t="s">
        <v>136</v>
      </c>
      <c r="E63" s="26" t="s">
        <v>130</v>
      </c>
      <c r="F63" s="27">
        <f>SUM(F64:F65)</f>
        <v>0.15400000000000003</v>
      </c>
      <c r="G63" s="298"/>
      <c r="H63" s="28">
        <f>F63*G63</f>
        <v>0</v>
      </c>
      <c r="J63" s="120"/>
    </row>
    <row r="64" spans="1:11" s="121" customFormat="1" ht="21">
      <c r="A64" s="182"/>
      <c r="B64" s="26"/>
      <c r="C64" s="26"/>
      <c r="D64" s="29" t="s">
        <v>741</v>
      </c>
      <c r="E64" s="26"/>
      <c r="F64" s="30">
        <v>0.084</v>
      </c>
      <c r="G64" s="298"/>
      <c r="H64" s="28"/>
      <c r="J64" s="120"/>
      <c r="K64" s="121" t="s">
        <v>93</v>
      </c>
    </row>
    <row r="65" spans="1:10" s="121" customFormat="1" ht="21">
      <c r="A65" s="182"/>
      <c r="B65" s="26"/>
      <c r="C65" s="26"/>
      <c r="D65" s="29" t="s">
        <v>742</v>
      </c>
      <c r="E65" s="26"/>
      <c r="F65" s="30">
        <v>0.07</v>
      </c>
      <c r="G65" s="298"/>
      <c r="H65" s="28"/>
      <c r="J65" s="120"/>
    </row>
    <row r="66" spans="1:10" s="167" customFormat="1" ht="15">
      <c r="A66" s="189" t="s">
        <v>373</v>
      </c>
      <c r="B66" s="190" t="s">
        <v>144</v>
      </c>
      <c r="C66" s="164">
        <v>13010420</v>
      </c>
      <c r="D66" s="164" t="s">
        <v>278</v>
      </c>
      <c r="E66" s="164" t="s">
        <v>130</v>
      </c>
      <c r="F66" s="165">
        <f>1.2*(0.032+0.003+0.019+0.0012+0.011+0.006+0.028+0.0018)</f>
        <v>0.12240000000000001</v>
      </c>
      <c r="G66" s="300"/>
      <c r="H66" s="166">
        <f>F66*G66</f>
        <v>0</v>
      </c>
      <c r="J66" s="168"/>
    </row>
    <row r="67" spans="1:10" s="167" customFormat="1" ht="15">
      <c r="A67" s="189" t="s">
        <v>185</v>
      </c>
      <c r="B67" s="190" t="s">
        <v>144</v>
      </c>
      <c r="C67" s="164">
        <v>13010512</v>
      </c>
      <c r="D67" s="164" t="s">
        <v>743</v>
      </c>
      <c r="E67" s="164" t="s">
        <v>130</v>
      </c>
      <c r="F67" s="165">
        <f>1.2*(0.023+0.0006+0.023+0.0006)</f>
        <v>0.05664</v>
      </c>
      <c r="G67" s="300"/>
      <c r="H67" s="28">
        <f>F67*G67</f>
        <v>0</v>
      </c>
      <c r="J67" s="168"/>
    </row>
    <row r="68" spans="1:10" s="118" customFormat="1" ht="13.8">
      <c r="A68" s="146" t="s">
        <v>374</v>
      </c>
      <c r="B68" s="31" t="s">
        <v>143</v>
      </c>
      <c r="C68" s="26">
        <v>342272225</v>
      </c>
      <c r="D68" s="26" t="s">
        <v>142</v>
      </c>
      <c r="E68" s="26" t="s">
        <v>18</v>
      </c>
      <c r="F68" s="27">
        <f>SUM(F69:F70)</f>
        <v>218.13000000000002</v>
      </c>
      <c r="G68" s="298"/>
      <c r="H68" s="28">
        <f>F68*G68</f>
        <v>0</v>
      </c>
      <c r="J68" s="120"/>
    </row>
    <row r="69" spans="1:10" s="121" customFormat="1" ht="21">
      <c r="A69" s="182"/>
      <c r="B69" s="26"/>
      <c r="C69" s="26"/>
      <c r="D69" s="29" t="s">
        <v>794</v>
      </c>
      <c r="E69" s="26"/>
      <c r="F69" s="30">
        <f>1.1*(3*(0.3+1.3+1.4+1.1+0.6+0.8+0.8+0.4+0.9+3+2.1+2.3+1.1+1.6+0.5+1.4+1.4+6.3+1.9+0.5+1.8))</f>
        <v>103.95</v>
      </c>
      <c r="G69" s="298"/>
      <c r="H69" s="28"/>
      <c r="J69" s="120"/>
    </row>
    <row r="70" spans="1:10" s="121" customFormat="1" ht="24" customHeight="1">
      <c r="A70" s="182"/>
      <c r="B70" s="26"/>
      <c r="C70" s="26"/>
      <c r="D70" s="29" t="s">
        <v>796</v>
      </c>
      <c r="E70" s="26"/>
      <c r="F70" s="30">
        <f>1.1*(3*(0.6+0.6+0.6+0.6+1.4+5.6+7.8+2.4+3+5.5+0.6+0.6+2.5+1.9+0.9))</f>
        <v>114.18000000000002</v>
      </c>
      <c r="G70" s="298"/>
      <c r="H70" s="28"/>
      <c r="J70" s="120"/>
    </row>
    <row r="71" spans="1:10" s="118" customFormat="1" ht="13.8">
      <c r="A71" s="146" t="s">
        <v>375</v>
      </c>
      <c r="B71" s="31">
        <v>342</v>
      </c>
      <c r="C71" s="26">
        <v>342272245</v>
      </c>
      <c r="D71" s="26" t="s">
        <v>277</v>
      </c>
      <c r="E71" s="26" t="s">
        <v>18</v>
      </c>
      <c r="F71" s="27">
        <f>SUM(F72:F73)</f>
        <v>74.91000000000001</v>
      </c>
      <c r="G71" s="298"/>
      <c r="H71" s="28">
        <f>F71*G71</f>
        <v>0</v>
      </c>
      <c r="J71" s="120"/>
    </row>
    <row r="72" spans="1:10" s="121" customFormat="1" ht="13.8">
      <c r="A72" s="182"/>
      <c r="B72" s="26"/>
      <c r="C72" s="26"/>
      <c r="D72" s="29" t="s">
        <v>793</v>
      </c>
      <c r="E72" s="26"/>
      <c r="F72" s="30">
        <f>1.1*(3*(0.6*2+1.9+2.1+0.8+0.6+0.6+4.7+2.3+2.1+1.8))</f>
        <v>59.73000000000001</v>
      </c>
      <c r="G72" s="298"/>
      <c r="H72" s="28"/>
      <c r="J72" s="120"/>
    </row>
    <row r="73" spans="1:10" s="121" customFormat="1" ht="13.8">
      <c r="A73" s="182"/>
      <c r="B73" s="26"/>
      <c r="C73" s="26"/>
      <c r="D73" s="29" t="s">
        <v>797</v>
      </c>
      <c r="E73" s="26"/>
      <c r="F73" s="30">
        <f>1.1*(3*(0.6+0.6+0.6+2.1+0.7))</f>
        <v>15.18</v>
      </c>
      <c r="G73" s="298"/>
      <c r="H73" s="28"/>
      <c r="J73" s="120"/>
    </row>
    <row r="74" spans="1:8" ht="15">
      <c r="A74" s="183"/>
      <c r="B74" s="15"/>
      <c r="C74" s="15">
        <v>6</v>
      </c>
      <c r="D74" s="15" t="s">
        <v>123</v>
      </c>
      <c r="E74" s="15"/>
      <c r="F74" s="16"/>
      <c r="G74" s="299"/>
      <c r="H74" s="17">
        <f>SUM(H75:H121)</f>
        <v>0</v>
      </c>
    </row>
    <row r="75" spans="1:10" s="123" customFormat="1" ht="13.8">
      <c r="A75" s="182">
        <v>33</v>
      </c>
      <c r="B75" s="26">
        <v>611</v>
      </c>
      <c r="C75" s="26">
        <v>611131121</v>
      </c>
      <c r="D75" s="26" t="s">
        <v>689</v>
      </c>
      <c r="E75" s="26" t="s">
        <v>18</v>
      </c>
      <c r="F75" s="27">
        <f>F76</f>
        <v>25.89</v>
      </c>
      <c r="G75" s="298"/>
      <c r="H75" s="28">
        <f>F75*G75</f>
        <v>0</v>
      </c>
      <c r="J75" s="120"/>
    </row>
    <row r="76" spans="1:10" s="121" customFormat="1" ht="13.8">
      <c r="A76" s="182"/>
      <c r="B76" s="26"/>
      <c r="C76" s="26"/>
      <c r="D76" s="29" t="s">
        <v>690</v>
      </c>
      <c r="E76" s="26"/>
      <c r="F76" s="30">
        <f>F77</f>
        <v>25.89</v>
      </c>
      <c r="G76" s="298"/>
      <c r="H76" s="28"/>
      <c r="J76" s="120"/>
    </row>
    <row r="77" spans="1:10" s="123" customFormat="1" ht="13.8">
      <c r="A77" s="182">
        <v>34</v>
      </c>
      <c r="B77" s="26">
        <v>611</v>
      </c>
      <c r="C77" s="26">
        <v>611321121</v>
      </c>
      <c r="D77" s="26" t="s">
        <v>765</v>
      </c>
      <c r="E77" s="26" t="s">
        <v>18</v>
      </c>
      <c r="F77" s="27">
        <f>SUM(F78:F79)</f>
        <v>25.89</v>
      </c>
      <c r="G77" s="298"/>
      <c r="H77" s="28">
        <f>F77*G77</f>
        <v>0</v>
      </c>
      <c r="J77" s="120"/>
    </row>
    <row r="78" spans="1:10" s="121" customFormat="1" ht="25.05" customHeight="1">
      <c r="A78" s="182"/>
      <c r="B78" s="26"/>
      <c r="C78" s="26"/>
      <c r="D78" s="29" t="s">
        <v>764</v>
      </c>
      <c r="E78" s="26"/>
      <c r="F78" s="30">
        <f>0.3*(4.5+1.2+1.4+1.8+4.4+9.7+4.9+1+6.1)</f>
        <v>10.5</v>
      </c>
      <c r="G78" s="298"/>
      <c r="H78" s="28"/>
      <c r="J78" s="120"/>
    </row>
    <row r="79" spans="1:10" s="121" customFormat="1" ht="25.05" customHeight="1">
      <c r="A79" s="182"/>
      <c r="B79" s="26"/>
      <c r="C79" s="26"/>
      <c r="D79" s="29" t="s">
        <v>763</v>
      </c>
      <c r="E79" s="26"/>
      <c r="F79" s="30">
        <f>0.3*(10.8+13.8+1.4+1.5+1.8+4.4+11.6+1+5)</f>
        <v>15.39</v>
      </c>
      <c r="G79" s="298"/>
      <c r="H79" s="28"/>
      <c r="J79" s="120"/>
    </row>
    <row r="80" spans="1:10" s="123" customFormat="1" ht="13.8">
      <c r="A80" s="182">
        <v>35</v>
      </c>
      <c r="B80" s="26">
        <v>611</v>
      </c>
      <c r="C80" s="26">
        <v>611321191</v>
      </c>
      <c r="D80" s="26" t="s">
        <v>766</v>
      </c>
      <c r="E80" s="26" t="s">
        <v>18</v>
      </c>
      <c r="F80" s="27">
        <f>F81</f>
        <v>51.8</v>
      </c>
      <c r="G80" s="298"/>
      <c r="H80" s="28">
        <f>F80*G80</f>
        <v>0</v>
      </c>
      <c r="J80" s="120"/>
    </row>
    <row r="81" spans="1:10" s="121" customFormat="1" ht="13.8">
      <c r="A81" s="182"/>
      <c r="B81" s="26"/>
      <c r="C81" s="26"/>
      <c r="D81" s="29" t="s">
        <v>882</v>
      </c>
      <c r="E81" s="26"/>
      <c r="F81" s="30">
        <f>2*25.9</f>
        <v>51.8</v>
      </c>
      <c r="G81" s="298"/>
      <c r="H81" s="28"/>
      <c r="J81" s="120"/>
    </row>
    <row r="82" spans="1:10" s="123" customFormat="1" ht="13.8">
      <c r="A82" s="182">
        <v>36</v>
      </c>
      <c r="B82" s="26">
        <v>611</v>
      </c>
      <c r="C82" s="26">
        <v>611321131</v>
      </c>
      <c r="D82" s="26" t="s">
        <v>767</v>
      </c>
      <c r="E82" s="26" t="s">
        <v>18</v>
      </c>
      <c r="F82" s="27">
        <f>SUM(F83:F84)</f>
        <v>86.30000000000001</v>
      </c>
      <c r="G82" s="298"/>
      <c r="H82" s="28">
        <f>F82*G82</f>
        <v>0</v>
      </c>
      <c r="J82" s="120"/>
    </row>
    <row r="83" spans="1:10" s="121" customFormat="1" ht="13.8">
      <c r="A83" s="182"/>
      <c r="B83" s="26"/>
      <c r="C83" s="26"/>
      <c r="D83" s="29" t="s">
        <v>768</v>
      </c>
      <c r="E83" s="26"/>
      <c r="F83" s="30">
        <f>4.5+1.2+1.4+1.8+4.4+9.7+4.9+1+6.1</f>
        <v>35</v>
      </c>
      <c r="G83" s="298"/>
      <c r="H83" s="28"/>
      <c r="J83" s="120"/>
    </row>
    <row r="84" spans="1:10" s="121" customFormat="1" ht="13.8">
      <c r="A84" s="182"/>
      <c r="B84" s="26"/>
      <c r="C84" s="26"/>
      <c r="D84" s="29" t="s">
        <v>769</v>
      </c>
      <c r="E84" s="26"/>
      <c r="F84" s="30">
        <f>10.8+13.8+1.4+1.5+1.8+4.4+11.6+1+5</f>
        <v>51.300000000000004</v>
      </c>
      <c r="G84" s="298"/>
      <c r="H84" s="28"/>
      <c r="J84" s="120"/>
    </row>
    <row r="85" spans="1:10" s="123" customFormat="1" ht="13.8">
      <c r="A85" s="182">
        <v>37</v>
      </c>
      <c r="B85" s="26">
        <v>611</v>
      </c>
      <c r="C85" s="26">
        <v>612131121</v>
      </c>
      <c r="D85" s="26" t="s">
        <v>324</v>
      </c>
      <c r="E85" s="26" t="s">
        <v>18</v>
      </c>
      <c r="F85" s="27">
        <f>F86</f>
        <v>2213.84</v>
      </c>
      <c r="G85" s="298"/>
      <c r="H85" s="28">
        <f>F85*G85</f>
        <v>0</v>
      </c>
      <c r="J85" s="120"/>
    </row>
    <row r="86" spans="1:10" s="121" customFormat="1" ht="21">
      <c r="A86" s="182"/>
      <c r="B86" s="26"/>
      <c r="C86" s="26"/>
      <c r="D86" s="29" t="s">
        <v>800</v>
      </c>
      <c r="E86" s="26"/>
      <c r="F86" s="30">
        <f>2*F94+F89</f>
        <v>2213.84</v>
      </c>
      <c r="G86" s="298"/>
      <c r="H86" s="28"/>
      <c r="J86" s="120"/>
    </row>
    <row r="87" spans="1:10" s="123" customFormat="1" ht="13.8">
      <c r="A87" s="182">
        <v>38</v>
      </c>
      <c r="B87" s="26">
        <v>612</v>
      </c>
      <c r="C87" s="26">
        <v>612142001</v>
      </c>
      <c r="D87" s="26" t="s">
        <v>150</v>
      </c>
      <c r="E87" s="26" t="s">
        <v>18</v>
      </c>
      <c r="F87" s="27">
        <f>SUM(F88:F88)</f>
        <v>990.1999999999999</v>
      </c>
      <c r="G87" s="298"/>
      <c r="H87" s="28">
        <f>F87*G87</f>
        <v>0</v>
      </c>
      <c r="J87" s="120"/>
    </row>
    <row r="88" spans="1:10" s="121" customFormat="1" ht="13.8">
      <c r="A88" s="182"/>
      <c r="B88" s="26"/>
      <c r="C88" s="26"/>
      <c r="D88" s="29" t="s">
        <v>798</v>
      </c>
      <c r="E88" s="26"/>
      <c r="F88" s="30">
        <f>F89</f>
        <v>990.1999999999999</v>
      </c>
      <c r="G88" s="298"/>
      <c r="H88" s="28"/>
      <c r="J88" s="120"/>
    </row>
    <row r="89" spans="1:10" s="123" customFormat="1" ht="13.8">
      <c r="A89" s="182">
        <v>39</v>
      </c>
      <c r="B89" s="26">
        <v>612</v>
      </c>
      <c r="C89" s="26">
        <v>612311141</v>
      </c>
      <c r="D89" s="26" t="s">
        <v>325</v>
      </c>
      <c r="E89" s="26" t="s">
        <v>18</v>
      </c>
      <c r="F89" s="27">
        <f>SUM(F90:F91)</f>
        <v>990.1999999999999</v>
      </c>
      <c r="G89" s="298"/>
      <c r="H89" s="28">
        <f>F89*G89</f>
        <v>0</v>
      </c>
      <c r="J89" s="120"/>
    </row>
    <row r="90" spans="1:10" s="121" customFormat="1" ht="13.8">
      <c r="A90" s="182"/>
      <c r="B90" s="26"/>
      <c r="C90" s="26"/>
      <c r="D90" s="29" t="s">
        <v>1702</v>
      </c>
      <c r="E90" s="26"/>
      <c r="F90" s="30">
        <v>180</v>
      </c>
      <c r="G90" s="298"/>
      <c r="H90" s="28"/>
      <c r="J90" s="120"/>
    </row>
    <row r="91" spans="1:10" s="121" customFormat="1" ht="21">
      <c r="A91" s="182"/>
      <c r="B91" s="26"/>
      <c r="C91" s="26"/>
      <c r="D91" s="29" t="s">
        <v>799</v>
      </c>
      <c r="E91" s="26"/>
      <c r="F91" s="30">
        <f>2*(66.1+45.8+218.2+75)</f>
        <v>810.1999999999999</v>
      </c>
      <c r="G91" s="298"/>
      <c r="H91" s="28"/>
      <c r="J91" s="120"/>
    </row>
    <row r="92" spans="1:10" s="123" customFormat="1" ht="13.8">
      <c r="A92" s="182">
        <v>40</v>
      </c>
      <c r="B92" s="26">
        <v>612</v>
      </c>
      <c r="C92" s="26">
        <v>612311191</v>
      </c>
      <c r="D92" s="26" t="s">
        <v>326</v>
      </c>
      <c r="E92" s="26" t="s">
        <v>18</v>
      </c>
      <c r="F92" s="27">
        <f>F93</f>
        <v>1980.4</v>
      </c>
      <c r="G92" s="298"/>
      <c r="H92" s="28">
        <f>F92*G92</f>
        <v>0</v>
      </c>
      <c r="J92" s="120"/>
    </row>
    <row r="93" spans="1:10" s="121" customFormat="1" ht="13.8">
      <c r="A93" s="182"/>
      <c r="B93" s="26"/>
      <c r="C93" s="26"/>
      <c r="D93" s="29" t="s">
        <v>1703</v>
      </c>
      <c r="E93" s="26"/>
      <c r="F93" s="30">
        <f>2*990.2</f>
        <v>1980.4</v>
      </c>
      <c r="G93" s="298"/>
      <c r="H93" s="28"/>
      <c r="J93" s="120"/>
    </row>
    <row r="94" spans="1:10" s="123" customFormat="1" ht="24" customHeight="1">
      <c r="A94" s="182">
        <v>41</v>
      </c>
      <c r="B94" s="26">
        <v>612</v>
      </c>
      <c r="C94" s="26">
        <v>612335417</v>
      </c>
      <c r="D94" s="26" t="s">
        <v>801</v>
      </c>
      <c r="E94" s="26" t="s">
        <v>18</v>
      </c>
      <c r="F94" s="27">
        <f>F95</f>
        <v>611.82</v>
      </c>
      <c r="G94" s="298"/>
      <c r="H94" s="28">
        <f>F94*G94</f>
        <v>0</v>
      </c>
      <c r="J94" s="120"/>
    </row>
    <row r="95" spans="1:10" s="121" customFormat="1" ht="21">
      <c r="A95" s="182"/>
      <c r="B95" s="26"/>
      <c r="C95" s="26"/>
      <c r="D95" s="29" t="s">
        <v>802</v>
      </c>
      <c r="E95" s="26"/>
      <c r="F95" s="30">
        <f>1.1*(3*(2.7+2.7+4.6*2+2.7+14.2+10.6+7.5*9+9+3+2.7+1.5*4+28+0.9*4+2.7+1.6*13))</f>
        <v>611.82</v>
      </c>
      <c r="G95" s="298"/>
      <c r="H95" s="28"/>
      <c r="J95" s="120"/>
    </row>
    <row r="96" spans="1:10" s="123" customFormat="1" ht="13.8">
      <c r="A96" s="182">
        <v>42</v>
      </c>
      <c r="B96" s="26">
        <v>622</v>
      </c>
      <c r="C96" s="26">
        <v>622131121</v>
      </c>
      <c r="D96" s="26" t="s">
        <v>321</v>
      </c>
      <c r="E96" s="26" t="s">
        <v>18</v>
      </c>
      <c r="F96" s="27">
        <f>F97</f>
        <v>694.3000000000001</v>
      </c>
      <c r="G96" s="298"/>
      <c r="H96" s="28">
        <f>F96*G96</f>
        <v>0</v>
      </c>
      <c r="J96" s="120"/>
    </row>
    <row r="97" spans="1:10" s="121" customFormat="1" ht="13.8">
      <c r="A97" s="182"/>
      <c r="B97" s="26"/>
      <c r="C97" s="26"/>
      <c r="D97" s="29" t="s">
        <v>842</v>
      </c>
      <c r="E97" s="26"/>
      <c r="F97" s="30">
        <f>622.5+34.6+37.2</f>
        <v>694.3000000000001</v>
      </c>
      <c r="G97" s="298"/>
      <c r="H97" s="28"/>
      <c r="J97" s="120"/>
    </row>
    <row r="98" spans="1:10" s="123" customFormat="1" ht="13.8">
      <c r="A98" s="182">
        <v>43</v>
      </c>
      <c r="B98" s="26">
        <v>622</v>
      </c>
      <c r="C98" s="26">
        <v>622331121</v>
      </c>
      <c r="D98" s="26" t="s">
        <v>312</v>
      </c>
      <c r="E98" s="26" t="s">
        <v>18</v>
      </c>
      <c r="F98" s="27">
        <f>SUM(F99:F99)</f>
        <v>10.25</v>
      </c>
      <c r="G98" s="298"/>
      <c r="H98" s="28">
        <f>F98*G98</f>
        <v>0</v>
      </c>
      <c r="J98" s="120"/>
    </row>
    <row r="99" spans="1:10" s="121" customFormat="1" ht="13.8">
      <c r="A99" s="182"/>
      <c r="B99" s="26"/>
      <c r="C99" s="26"/>
      <c r="D99" s="29" t="s">
        <v>477</v>
      </c>
      <c r="E99" s="26"/>
      <c r="F99" s="30">
        <f>(0.5*0.5)*41</f>
        <v>10.25</v>
      </c>
      <c r="G99" s="298"/>
      <c r="H99" s="28"/>
      <c r="J99" s="120"/>
    </row>
    <row r="100" spans="1:10" s="123" customFormat="1" ht="13.8">
      <c r="A100" s="182">
        <v>44</v>
      </c>
      <c r="B100" s="26">
        <v>622</v>
      </c>
      <c r="C100" s="26">
        <v>622335102</v>
      </c>
      <c r="D100" s="26" t="s">
        <v>843</v>
      </c>
      <c r="E100" s="26" t="s">
        <v>18</v>
      </c>
      <c r="F100" s="27">
        <f>F101</f>
        <v>694.3000000000001</v>
      </c>
      <c r="G100" s="298"/>
      <c r="H100" s="28">
        <f>F100*G100</f>
        <v>0</v>
      </c>
      <c r="J100" s="120"/>
    </row>
    <row r="101" spans="1:10" s="121" customFormat="1" ht="13.8">
      <c r="A101" s="182"/>
      <c r="B101" s="26"/>
      <c r="C101" s="26"/>
      <c r="D101" s="29" t="s">
        <v>844</v>
      </c>
      <c r="E101" s="26"/>
      <c r="F101" s="30">
        <f>622.5+34.6+37.2</f>
        <v>694.3000000000001</v>
      </c>
      <c r="G101" s="298"/>
      <c r="H101" s="28"/>
      <c r="J101" s="120"/>
    </row>
    <row r="102" spans="1:10" s="123" customFormat="1" ht="13.8">
      <c r="A102" s="182">
        <v>45</v>
      </c>
      <c r="B102" s="26">
        <v>631</v>
      </c>
      <c r="C102" s="26">
        <v>631362021</v>
      </c>
      <c r="D102" s="26" t="s">
        <v>129</v>
      </c>
      <c r="E102" s="26" t="s">
        <v>130</v>
      </c>
      <c r="F102" s="27">
        <f>F103</f>
        <v>2.8195999999999994</v>
      </c>
      <c r="G102" s="298"/>
      <c r="H102" s="28">
        <f>F102*G102</f>
        <v>0</v>
      </c>
      <c r="J102" s="120"/>
    </row>
    <row r="103" spans="1:10" s="121" customFormat="1" ht="13.8">
      <c r="A103" s="182"/>
      <c r="B103" s="26"/>
      <c r="C103" s="26"/>
      <c r="D103" s="29" t="s">
        <v>735</v>
      </c>
      <c r="E103" s="26"/>
      <c r="F103" s="30">
        <f>((503.5*4)/1000)*1.4</f>
        <v>2.8195999999999994</v>
      </c>
      <c r="G103" s="298"/>
      <c r="H103" s="28"/>
      <c r="J103" s="120"/>
    </row>
    <row r="104" spans="1:10" s="123" customFormat="1" ht="13.8">
      <c r="A104" s="182">
        <v>46</v>
      </c>
      <c r="B104" s="26">
        <v>631</v>
      </c>
      <c r="C104" s="26">
        <v>631341112</v>
      </c>
      <c r="D104" s="26" t="s">
        <v>283</v>
      </c>
      <c r="E104" s="26" t="s">
        <v>17</v>
      </c>
      <c r="F104" s="27">
        <f>F105</f>
        <v>1.0802000000000003</v>
      </c>
      <c r="G104" s="298"/>
      <c r="H104" s="28">
        <f>F104*G104</f>
        <v>0</v>
      </c>
      <c r="J104" s="120"/>
    </row>
    <row r="105" spans="1:10" s="118" customFormat="1" ht="21">
      <c r="A105" s="182"/>
      <c r="B105" s="26"/>
      <c r="C105" s="26"/>
      <c r="D105" s="29" t="s">
        <v>807</v>
      </c>
      <c r="E105" s="26"/>
      <c r="F105" s="30">
        <f>1.1*(0.05*(6*(0.8*0.8)+2*7.4+1))</f>
        <v>1.0802000000000003</v>
      </c>
      <c r="G105" s="298"/>
      <c r="H105" s="28"/>
      <c r="J105" s="120"/>
    </row>
    <row r="106" spans="1:10" s="123" customFormat="1" ht="13.8">
      <c r="A106" s="182">
        <v>47</v>
      </c>
      <c r="B106" s="26">
        <v>632</v>
      </c>
      <c r="C106" s="26">
        <v>632451234</v>
      </c>
      <c r="D106" s="26" t="s">
        <v>329</v>
      </c>
      <c r="E106" s="26" t="s">
        <v>18</v>
      </c>
      <c r="F106" s="27">
        <f>SUM(F107:F110)</f>
        <v>503.50000000000006</v>
      </c>
      <c r="G106" s="298"/>
      <c r="H106" s="28">
        <f>F106*G106</f>
        <v>0</v>
      </c>
      <c r="J106" s="120"/>
    </row>
    <row r="107" spans="1:10" s="121" customFormat="1" ht="13.8">
      <c r="A107" s="182"/>
      <c r="B107" s="26"/>
      <c r="C107" s="26"/>
      <c r="D107" s="29" t="s">
        <v>731</v>
      </c>
      <c r="E107" s="26"/>
      <c r="F107" s="30">
        <f>16.6+40.6+82.9+4.9</f>
        <v>145.00000000000003</v>
      </c>
      <c r="G107" s="298"/>
      <c r="H107" s="28"/>
      <c r="J107" s="120"/>
    </row>
    <row r="108" spans="1:10" s="121" customFormat="1" ht="21">
      <c r="A108" s="182"/>
      <c r="B108" s="26"/>
      <c r="C108" s="26"/>
      <c r="D108" s="29" t="s">
        <v>732</v>
      </c>
      <c r="E108" s="26"/>
      <c r="F108" s="30">
        <f>4.5+4.5+13.8+28.7+1.2+1.4+1.8+4.4+18.6+25.3+9.7+1+7.3+6.1+10.8</f>
        <v>139.10000000000002</v>
      </c>
      <c r="G108" s="298"/>
      <c r="H108" s="28"/>
      <c r="J108" s="120"/>
    </row>
    <row r="109" spans="1:10" s="121" customFormat="1" ht="13.8">
      <c r="A109" s="182"/>
      <c r="B109" s="26"/>
      <c r="C109" s="26"/>
      <c r="D109" s="29" t="s">
        <v>727</v>
      </c>
      <c r="E109" s="26"/>
      <c r="F109" s="30">
        <f>40.5+83.6</f>
        <v>124.1</v>
      </c>
      <c r="G109" s="298"/>
      <c r="H109" s="28"/>
      <c r="J109" s="120"/>
    </row>
    <row r="110" spans="1:10" s="121" customFormat="1" ht="21">
      <c r="A110" s="182"/>
      <c r="B110" s="26"/>
      <c r="C110" s="26"/>
      <c r="D110" s="29" t="s">
        <v>728</v>
      </c>
      <c r="E110" s="26"/>
      <c r="F110" s="30">
        <f>10.8+13.8+1.4+1.5+1.8+4.4+18.6+25.4+11.6+1+5</f>
        <v>95.3</v>
      </c>
      <c r="G110" s="298"/>
      <c r="H110" s="28"/>
      <c r="J110" s="120"/>
    </row>
    <row r="111" spans="1:10" s="123" customFormat="1" ht="13.8">
      <c r="A111" s="182">
        <v>48</v>
      </c>
      <c r="B111" s="26">
        <v>632</v>
      </c>
      <c r="C111" s="26">
        <v>632451292</v>
      </c>
      <c r="D111" s="26" t="s">
        <v>330</v>
      </c>
      <c r="E111" s="26" t="s">
        <v>18</v>
      </c>
      <c r="F111" s="27">
        <f>SUM(F112:F115)</f>
        <v>772.5999999999999</v>
      </c>
      <c r="G111" s="298"/>
      <c r="H111" s="28">
        <f>F111*G111</f>
        <v>0</v>
      </c>
      <c r="J111" s="120"/>
    </row>
    <row r="112" spans="1:10" s="121" customFormat="1" ht="13.8">
      <c r="A112" s="182"/>
      <c r="B112" s="26"/>
      <c r="C112" s="26"/>
      <c r="D112" s="29" t="s">
        <v>733</v>
      </c>
      <c r="E112" s="26"/>
      <c r="F112" s="30">
        <f>2*145</f>
        <v>290</v>
      </c>
      <c r="G112" s="298"/>
      <c r="H112" s="28"/>
      <c r="J112" s="120"/>
    </row>
    <row r="113" spans="1:10" s="121" customFormat="1" ht="13.8">
      <c r="A113" s="182"/>
      <c r="B113" s="26"/>
      <c r="C113" s="26"/>
      <c r="D113" s="29" t="s">
        <v>734</v>
      </c>
      <c r="E113" s="26"/>
      <c r="F113" s="30">
        <v>139.1</v>
      </c>
      <c r="G113" s="298"/>
      <c r="H113" s="28"/>
      <c r="J113" s="120"/>
    </row>
    <row r="114" spans="1:10" s="121" customFormat="1" ht="13.8">
      <c r="A114" s="182"/>
      <c r="B114" s="26"/>
      <c r="C114" s="26"/>
      <c r="D114" s="29" t="s">
        <v>729</v>
      </c>
      <c r="E114" s="26"/>
      <c r="F114" s="30">
        <f>2*124.1</f>
        <v>248.2</v>
      </c>
      <c r="G114" s="298"/>
      <c r="H114" s="28"/>
      <c r="J114" s="120"/>
    </row>
    <row r="115" spans="1:10" s="121" customFormat="1" ht="13.8">
      <c r="A115" s="182"/>
      <c r="B115" s="26"/>
      <c r="C115" s="26"/>
      <c r="D115" s="29" t="s">
        <v>730</v>
      </c>
      <c r="E115" s="26"/>
      <c r="F115" s="30">
        <v>95.3</v>
      </c>
      <c r="G115" s="298"/>
      <c r="H115" s="28"/>
      <c r="J115" s="120"/>
    </row>
    <row r="116" spans="1:10" s="123" customFormat="1" ht="13.8">
      <c r="A116" s="182">
        <v>49</v>
      </c>
      <c r="B116" s="26">
        <v>635</v>
      </c>
      <c r="C116" s="26" t="s">
        <v>284</v>
      </c>
      <c r="D116" s="26" t="s">
        <v>285</v>
      </c>
      <c r="E116" s="26" t="s">
        <v>17</v>
      </c>
      <c r="F116" s="27">
        <f>F117</f>
        <v>5.401000000000001</v>
      </c>
      <c r="G116" s="298"/>
      <c r="H116" s="28">
        <f>F116*G116</f>
        <v>0</v>
      </c>
      <c r="J116" s="120"/>
    </row>
    <row r="117" spans="1:10" s="121" customFormat="1" ht="13.95" customHeight="1">
      <c r="A117" s="182"/>
      <c r="B117" s="26"/>
      <c r="C117" s="26"/>
      <c r="D117" s="29" t="s">
        <v>806</v>
      </c>
      <c r="E117" s="26"/>
      <c r="F117" s="30">
        <f>1.1*(0.25*(6*(0.8*0.8)+2*7.4+1))</f>
        <v>5.401000000000001</v>
      </c>
      <c r="G117" s="298"/>
      <c r="H117" s="28"/>
      <c r="J117" s="120"/>
    </row>
    <row r="118" spans="1:10" s="123" customFormat="1" ht="13.8">
      <c r="A118" s="182">
        <v>50</v>
      </c>
      <c r="B118" s="26">
        <v>636</v>
      </c>
      <c r="C118" s="26">
        <v>636311121</v>
      </c>
      <c r="D118" s="26" t="s">
        <v>295</v>
      </c>
      <c r="E118" s="26" t="s">
        <v>18</v>
      </c>
      <c r="F118" s="27">
        <f>SUM(F119:F120)</f>
        <v>570</v>
      </c>
      <c r="G118" s="298"/>
      <c r="H118" s="28">
        <f>F118*G118</f>
        <v>0</v>
      </c>
      <c r="J118" s="120"/>
    </row>
    <row r="119" spans="1:10" s="121" customFormat="1" ht="21">
      <c r="A119" s="182"/>
      <c r="B119" s="26"/>
      <c r="C119" s="26"/>
      <c r="D119" s="29" t="s">
        <v>804</v>
      </c>
      <c r="E119" s="26"/>
      <c r="F119" s="30">
        <f>2*275.6</f>
        <v>551.2</v>
      </c>
      <c r="G119" s="298"/>
      <c r="H119" s="28"/>
      <c r="J119" s="120"/>
    </row>
    <row r="120" spans="1:10" s="121" customFormat="1" ht="21">
      <c r="A120" s="182"/>
      <c r="B120" s="26"/>
      <c r="C120" s="26"/>
      <c r="D120" s="29" t="s">
        <v>805</v>
      </c>
      <c r="E120" s="26"/>
      <c r="F120" s="30">
        <v>18.8</v>
      </c>
      <c r="G120" s="298"/>
      <c r="H120" s="28"/>
      <c r="J120" s="120"/>
    </row>
    <row r="121" spans="1:10" s="188" customFormat="1" ht="15">
      <c r="A121" s="184">
        <v>51</v>
      </c>
      <c r="B121" s="164">
        <v>592</v>
      </c>
      <c r="C121" s="164">
        <v>59245601</v>
      </c>
      <c r="D121" s="164" t="s">
        <v>296</v>
      </c>
      <c r="E121" s="164" t="s">
        <v>18</v>
      </c>
      <c r="F121" s="165">
        <f>1.1*F118</f>
        <v>627</v>
      </c>
      <c r="G121" s="300"/>
      <c r="H121" s="166">
        <f>F121*G121</f>
        <v>0</v>
      </c>
      <c r="J121" s="168"/>
    </row>
    <row r="122" spans="1:8" ht="15">
      <c r="A122" s="183"/>
      <c r="B122" s="15"/>
      <c r="C122" s="15">
        <v>9</v>
      </c>
      <c r="D122" s="15" t="s">
        <v>61</v>
      </c>
      <c r="E122" s="15"/>
      <c r="F122" s="16"/>
      <c r="G122" s="299"/>
      <c r="H122" s="17">
        <f>SUM(H123:H189)</f>
        <v>0</v>
      </c>
    </row>
    <row r="123" spans="1:11" s="173" customFormat="1" ht="28.05" customHeight="1">
      <c r="A123" s="182">
        <v>52</v>
      </c>
      <c r="B123" s="169">
        <v>941</v>
      </c>
      <c r="C123" s="170">
        <v>941121111</v>
      </c>
      <c r="D123" s="170" t="s">
        <v>350</v>
      </c>
      <c r="E123" s="170" t="s">
        <v>18</v>
      </c>
      <c r="F123" s="171">
        <f>F124</f>
        <v>623</v>
      </c>
      <c r="G123" s="298"/>
      <c r="H123" s="28">
        <f>F123*G123</f>
        <v>0</v>
      </c>
      <c r="I123" s="172"/>
      <c r="K123" s="174"/>
    </row>
    <row r="124" spans="1:11" s="179" customFormat="1" ht="34.95" customHeight="1">
      <c r="A124" s="182"/>
      <c r="B124" s="169"/>
      <c r="C124" s="175"/>
      <c r="D124" s="176" t="s">
        <v>867</v>
      </c>
      <c r="E124" s="175"/>
      <c r="F124" s="177">
        <f>7*(26+26+18.5+18.5)</f>
        <v>623</v>
      </c>
      <c r="G124" s="298"/>
      <c r="H124" s="28"/>
      <c r="I124" s="178"/>
      <c r="K124" s="174"/>
    </row>
    <row r="125" spans="1:11" s="173" customFormat="1" ht="28.05" customHeight="1">
      <c r="A125" s="182">
        <v>53</v>
      </c>
      <c r="B125" s="169">
        <v>941</v>
      </c>
      <c r="C125" s="170">
        <v>941121811</v>
      </c>
      <c r="D125" s="170" t="s">
        <v>349</v>
      </c>
      <c r="E125" s="170" t="s">
        <v>18</v>
      </c>
      <c r="F125" s="171">
        <f>F123</f>
        <v>623</v>
      </c>
      <c r="G125" s="298"/>
      <c r="H125" s="28">
        <f>F125*G125</f>
        <v>0</v>
      </c>
      <c r="I125" s="172"/>
      <c r="K125" s="174"/>
    </row>
    <row r="126" spans="1:11" s="180" customFormat="1" ht="21.6">
      <c r="A126" s="182">
        <v>54</v>
      </c>
      <c r="B126" s="169">
        <v>941</v>
      </c>
      <c r="C126" s="170">
        <v>941121211</v>
      </c>
      <c r="D126" s="170" t="s">
        <v>351</v>
      </c>
      <c r="E126" s="170" t="s">
        <v>18</v>
      </c>
      <c r="F126" s="171">
        <f>F127</f>
        <v>37380</v>
      </c>
      <c r="G126" s="298"/>
      <c r="H126" s="28">
        <f>F126*G126</f>
        <v>0</v>
      </c>
      <c r="I126" s="172"/>
      <c r="K126" s="174"/>
    </row>
    <row r="127" spans="1:11" s="181" customFormat="1" ht="15">
      <c r="A127" s="182"/>
      <c r="B127" s="169"/>
      <c r="C127" s="170"/>
      <c r="D127" s="176" t="s">
        <v>868</v>
      </c>
      <c r="E127" s="170"/>
      <c r="F127" s="177">
        <f>60*623</f>
        <v>37380</v>
      </c>
      <c r="G127" s="298"/>
      <c r="H127" s="28"/>
      <c r="I127" s="180"/>
      <c r="K127" s="174"/>
    </row>
    <row r="128" spans="1:11" s="181" customFormat="1" ht="21.6">
      <c r="A128" s="182">
        <v>55</v>
      </c>
      <c r="B128" s="169">
        <v>943</v>
      </c>
      <c r="C128" s="203" t="s">
        <v>859</v>
      </c>
      <c r="D128" s="170" t="s">
        <v>860</v>
      </c>
      <c r="E128" s="170" t="s">
        <v>17</v>
      </c>
      <c r="F128" s="171">
        <f>F129</f>
        <v>1993.6000000000001</v>
      </c>
      <c r="G128" s="298"/>
      <c r="H128" s="28">
        <f>F128*G128</f>
        <v>0</v>
      </c>
      <c r="K128" s="174"/>
    </row>
    <row r="129" spans="1:11" s="181" customFormat="1" ht="15">
      <c r="A129" s="182"/>
      <c r="B129" s="169"/>
      <c r="C129" s="203"/>
      <c r="D129" s="176" t="s">
        <v>865</v>
      </c>
      <c r="E129" s="170"/>
      <c r="F129" s="177">
        <f>7*284.8</f>
        <v>1993.6000000000001</v>
      </c>
      <c r="G129" s="298"/>
      <c r="H129" s="28"/>
      <c r="K129" s="174"/>
    </row>
    <row r="130" spans="1:11" s="181" customFormat="1" ht="21.6">
      <c r="A130" s="182">
        <v>56</v>
      </c>
      <c r="B130" s="169">
        <v>943</v>
      </c>
      <c r="C130" s="203" t="s">
        <v>861</v>
      </c>
      <c r="D130" s="170" t="s">
        <v>862</v>
      </c>
      <c r="E130" s="170" t="s">
        <v>17</v>
      </c>
      <c r="F130" s="171">
        <f>F131</f>
        <v>119616</v>
      </c>
      <c r="G130" s="298"/>
      <c r="H130" s="28">
        <f>F130*G130</f>
        <v>0</v>
      </c>
      <c r="K130" s="174"/>
    </row>
    <row r="131" spans="1:11" s="181" customFormat="1" ht="15">
      <c r="A131" s="182"/>
      <c r="B131" s="169"/>
      <c r="C131" s="203"/>
      <c r="D131" s="176" t="s">
        <v>866</v>
      </c>
      <c r="E131" s="170"/>
      <c r="F131" s="177">
        <f>60*1993.6</f>
        <v>119616</v>
      </c>
      <c r="G131" s="298"/>
      <c r="H131" s="28"/>
      <c r="K131" s="174"/>
    </row>
    <row r="132" spans="1:11" s="181" customFormat="1" ht="24" customHeight="1">
      <c r="A132" s="182">
        <v>57</v>
      </c>
      <c r="B132" s="169">
        <v>943</v>
      </c>
      <c r="C132" s="203" t="s">
        <v>863</v>
      </c>
      <c r="D132" s="170" t="s">
        <v>864</v>
      </c>
      <c r="E132" s="170" t="s">
        <v>17</v>
      </c>
      <c r="F132" s="171">
        <f>F128</f>
        <v>1993.6000000000001</v>
      </c>
      <c r="G132" s="298"/>
      <c r="H132" s="28">
        <f>F132*G132</f>
        <v>0</v>
      </c>
      <c r="K132" s="174"/>
    </row>
    <row r="133" spans="1:11" s="181" customFormat="1" ht="15">
      <c r="A133" s="182">
        <v>58</v>
      </c>
      <c r="B133" s="169">
        <v>944</v>
      </c>
      <c r="C133" s="170">
        <v>944511111</v>
      </c>
      <c r="D133" s="170" t="s">
        <v>153</v>
      </c>
      <c r="E133" s="170" t="s">
        <v>18</v>
      </c>
      <c r="F133" s="171">
        <f>F134</f>
        <v>623</v>
      </c>
      <c r="G133" s="298"/>
      <c r="H133" s="28">
        <f>F133*G133</f>
        <v>0</v>
      </c>
      <c r="I133" s="180"/>
      <c r="K133" s="174"/>
    </row>
    <row r="134" spans="1:11" s="181" customFormat="1" ht="15">
      <c r="A134" s="182"/>
      <c r="B134" s="169"/>
      <c r="C134" s="170"/>
      <c r="D134" s="176" t="s">
        <v>154</v>
      </c>
      <c r="E134" s="170"/>
      <c r="F134" s="177">
        <f>F123</f>
        <v>623</v>
      </c>
      <c r="G134" s="298"/>
      <c r="H134" s="28"/>
      <c r="I134" s="180"/>
      <c r="K134" s="174"/>
    </row>
    <row r="135" spans="1:11" s="180" customFormat="1" ht="15">
      <c r="A135" s="182">
        <v>59</v>
      </c>
      <c r="B135" s="169">
        <v>944</v>
      </c>
      <c r="C135" s="170">
        <v>944511811</v>
      </c>
      <c r="D135" s="170" t="s">
        <v>155</v>
      </c>
      <c r="E135" s="170" t="s">
        <v>18</v>
      </c>
      <c r="F135" s="171">
        <f>F133</f>
        <v>623</v>
      </c>
      <c r="G135" s="298"/>
      <c r="H135" s="28">
        <f>F135*G135</f>
        <v>0</v>
      </c>
      <c r="K135" s="174"/>
    </row>
    <row r="136" spans="1:11" s="180" customFormat="1" ht="15">
      <c r="A136" s="182">
        <v>60</v>
      </c>
      <c r="B136" s="169">
        <v>944</v>
      </c>
      <c r="C136" s="170">
        <v>944511211</v>
      </c>
      <c r="D136" s="170" t="s">
        <v>156</v>
      </c>
      <c r="E136" s="170" t="s">
        <v>18</v>
      </c>
      <c r="F136" s="171">
        <f>F137</f>
        <v>37380</v>
      </c>
      <c r="G136" s="298"/>
      <c r="H136" s="28">
        <f>F136*G136</f>
        <v>0</v>
      </c>
      <c r="K136" s="174"/>
    </row>
    <row r="137" spans="1:11" s="181" customFormat="1" ht="15">
      <c r="A137" s="182"/>
      <c r="B137" s="169"/>
      <c r="C137" s="170"/>
      <c r="D137" s="176" t="s">
        <v>868</v>
      </c>
      <c r="E137" s="170"/>
      <c r="F137" s="177">
        <f>60*623</f>
        <v>37380</v>
      </c>
      <c r="G137" s="298"/>
      <c r="H137" s="28"/>
      <c r="I137" s="180"/>
      <c r="K137" s="174"/>
    </row>
    <row r="138" spans="1:11" s="180" customFormat="1" ht="15">
      <c r="A138" s="182">
        <v>61</v>
      </c>
      <c r="B138" s="169">
        <v>944</v>
      </c>
      <c r="C138" s="170">
        <v>944711112</v>
      </c>
      <c r="D138" s="170" t="s">
        <v>157</v>
      </c>
      <c r="E138" s="170" t="s">
        <v>74</v>
      </c>
      <c r="F138" s="171">
        <f>F139</f>
        <v>10</v>
      </c>
      <c r="G138" s="298"/>
      <c r="H138" s="28">
        <f>F138*G138</f>
        <v>0</v>
      </c>
      <c r="I138" s="172"/>
      <c r="K138" s="174"/>
    </row>
    <row r="139" spans="1:11" s="181" customFormat="1" ht="21.6">
      <c r="A139" s="182"/>
      <c r="B139" s="169"/>
      <c r="C139" s="170"/>
      <c r="D139" s="176" t="s">
        <v>158</v>
      </c>
      <c r="E139" s="170"/>
      <c r="F139" s="177">
        <v>10</v>
      </c>
      <c r="G139" s="298"/>
      <c r="H139" s="28"/>
      <c r="I139" s="180"/>
      <c r="K139" s="174"/>
    </row>
    <row r="140" spans="1:11" s="180" customFormat="1" ht="15">
      <c r="A140" s="182">
        <v>62</v>
      </c>
      <c r="B140" s="169">
        <v>944</v>
      </c>
      <c r="C140" s="170">
        <v>944711814</v>
      </c>
      <c r="D140" s="170" t="s">
        <v>159</v>
      </c>
      <c r="E140" s="170" t="s">
        <v>74</v>
      </c>
      <c r="F140" s="171">
        <f>F138</f>
        <v>10</v>
      </c>
      <c r="G140" s="298"/>
      <c r="H140" s="28">
        <f>F140*G140</f>
        <v>0</v>
      </c>
      <c r="I140" s="172"/>
      <c r="K140" s="174"/>
    </row>
    <row r="141" spans="1:11" s="180" customFormat="1" ht="15">
      <c r="A141" s="182">
        <v>63</v>
      </c>
      <c r="B141" s="169">
        <v>944</v>
      </c>
      <c r="C141" s="170">
        <v>944711212</v>
      </c>
      <c r="D141" s="170" t="s">
        <v>160</v>
      </c>
      <c r="E141" s="170" t="s">
        <v>74</v>
      </c>
      <c r="F141" s="171">
        <f>F142</f>
        <v>600</v>
      </c>
      <c r="G141" s="298"/>
      <c r="H141" s="28">
        <f>F141*G141</f>
        <v>0</v>
      </c>
      <c r="I141" s="172"/>
      <c r="K141" s="174"/>
    </row>
    <row r="142" spans="1:11" s="181" customFormat="1" ht="15">
      <c r="A142" s="182"/>
      <c r="B142" s="169"/>
      <c r="C142" s="170"/>
      <c r="D142" s="176" t="s">
        <v>161</v>
      </c>
      <c r="E142" s="170"/>
      <c r="F142" s="177">
        <f>60*10</f>
        <v>600</v>
      </c>
      <c r="G142" s="298"/>
      <c r="H142" s="28"/>
      <c r="I142" s="180"/>
      <c r="K142" s="174"/>
    </row>
    <row r="143" spans="1:11" s="180" customFormat="1" ht="15">
      <c r="A143" s="182">
        <v>64</v>
      </c>
      <c r="B143" s="169">
        <v>952</v>
      </c>
      <c r="C143" s="170">
        <v>952901111</v>
      </c>
      <c r="D143" s="170" t="s">
        <v>162</v>
      </c>
      <c r="E143" s="170" t="s">
        <v>18</v>
      </c>
      <c r="F143" s="171">
        <f>F144</f>
        <v>504.8</v>
      </c>
      <c r="G143" s="298"/>
      <c r="H143" s="28">
        <f>F143*G143</f>
        <v>0</v>
      </c>
      <c r="I143" s="172"/>
      <c r="K143" s="174"/>
    </row>
    <row r="144" spans="1:11" s="181" customFormat="1" ht="15">
      <c r="A144" s="182"/>
      <c r="B144" s="169"/>
      <c r="C144" s="170"/>
      <c r="D144" s="176" t="s">
        <v>345</v>
      </c>
      <c r="E144" s="170"/>
      <c r="F144" s="177">
        <v>504.8</v>
      </c>
      <c r="G144" s="298"/>
      <c r="H144" s="28"/>
      <c r="I144" s="180"/>
      <c r="K144" s="174"/>
    </row>
    <row r="145" spans="1:10" s="123" customFormat="1" ht="13.8">
      <c r="A145" s="182">
        <v>65</v>
      </c>
      <c r="B145" s="26">
        <v>961</v>
      </c>
      <c r="C145" s="26">
        <v>961055111</v>
      </c>
      <c r="D145" s="26" t="s">
        <v>242</v>
      </c>
      <c r="E145" s="26" t="s">
        <v>17</v>
      </c>
      <c r="F145" s="27">
        <f>SUM(F146:F146)</f>
        <v>10</v>
      </c>
      <c r="G145" s="298"/>
      <c r="H145" s="28">
        <f>F145*G145</f>
        <v>0</v>
      </c>
      <c r="J145" s="120"/>
    </row>
    <row r="146" spans="1:11" s="181" customFormat="1" ht="15">
      <c r="A146" s="182"/>
      <c r="B146" s="169"/>
      <c r="C146" s="170"/>
      <c r="D146" s="176" t="s">
        <v>858</v>
      </c>
      <c r="E146" s="170"/>
      <c r="F146" s="177">
        <v>10</v>
      </c>
      <c r="G146" s="298"/>
      <c r="H146" s="28"/>
      <c r="I146" s="180"/>
      <c r="K146" s="174"/>
    </row>
    <row r="147" spans="1:10" s="123" customFormat="1" ht="13.8">
      <c r="A147" s="182">
        <v>66</v>
      </c>
      <c r="B147" s="26">
        <v>962</v>
      </c>
      <c r="C147" s="26">
        <v>962031132</v>
      </c>
      <c r="D147" s="26" t="s">
        <v>260</v>
      </c>
      <c r="E147" s="26" t="s">
        <v>18</v>
      </c>
      <c r="F147" s="27">
        <f>SUM(F148:F149)</f>
        <v>324.44999999999993</v>
      </c>
      <c r="G147" s="298"/>
      <c r="H147" s="28">
        <f>F147*G147</f>
        <v>0</v>
      </c>
      <c r="J147" s="120"/>
    </row>
    <row r="148" spans="1:10" s="121" customFormat="1" ht="36" customHeight="1">
      <c r="A148" s="182"/>
      <c r="B148" s="26"/>
      <c r="C148" s="26"/>
      <c r="D148" s="29" t="s">
        <v>662</v>
      </c>
      <c r="E148" s="26"/>
      <c r="F148" s="30">
        <f>3*(6.6+1.2+0.9+1.5+0.8+1.2+6.8+1.9+0.5+1.15+0.4+0.4+1.2+1.8+2.8+3.2+1.5+1.6+1.9+1.5+2.4+1.4+0.4+1.2+2.7+4.7)</f>
        <v>154.95</v>
      </c>
      <c r="G148" s="298"/>
      <c r="H148" s="28"/>
      <c r="J148" s="120"/>
    </row>
    <row r="149" spans="1:10" s="121" customFormat="1" ht="31.2">
      <c r="A149" s="182"/>
      <c r="B149" s="26"/>
      <c r="C149" s="26"/>
      <c r="D149" s="29" t="s">
        <v>674</v>
      </c>
      <c r="E149" s="26"/>
      <c r="F149" s="30">
        <f>3*(0.7+0.2+1.2+0.3+2.4+1.8+0.4+1.5*3+0.9+1.2+2.1+0.8+0.7+1.9+5.4*2+6.1*2+2.9*2+4.8+2.2+1.6)</f>
        <v>169.49999999999997</v>
      </c>
      <c r="G149" s="298"/>
      <c r="H149" s="28"/>
      <c r="J149" s="120"/>
    </row>
    <row r="150" spans="1:10" s="123" customFormat="1" ht="13.8">
      <c r="A150" s="182">
        <v>67</v>
      </c>
      <c r="B150" s="26">
        <v>962</v>
      </c>
      <c r="C150" s="26">
        <v>962032241</v>
      </c>
      <c r="D150" s="26" t="s">
        <v>139</v>
      </c>
      <c r="E150" s="26" t="s">
        <v>17</v>
      </c>
      <c r="F150" s="27">
        <f>SUM(F151:F153)</f>
        <v>3.708</v>
      </c>
      <c r="G150" s="298"/>
      <c r="H150" s="28">
        <f>F150*G150</f>
        <v>0</v>
      </c>
      <c r="J150" s="120"/>
    </row>
    <row r="151" spans="1:10" s="121" customFormat="1" ht="13.8">
      <c r="A151" s="182"/>
      <c r="B151" s="26"/>
      <c r="C151" s="26"/>
      <c r="D151" s="29" t="s">
        <v>657</v>
      </c>
      <c r="E151" s="26"/>
      <c r="F151" s="30">
        <f>4*(0.3*1.2*0.6)</f>
        <v>0.864</v>
      </c>
      <c r="G151" s="298"/>
      <c r="H151" s="28"/>
      <c r="J151" s="120"/>
    </row>
    <row r="152" spans="1:10" s="121" customFormat="1" ht="13.8">
      <c r="A152" s="182"/>
      <c r="B152" s="26"/>
      <c r="C152" s="26"/>
      <c r="D152" s="29" t="s">
        <v>658</v>
      </c>
      <c r="E152" s="26"/>
      <c r="F152" s="30">
        <f>7*0.3*0.6</f>
        <v>1.26</v>
      </c>
      <c r="G152" s="298"/>
      <c r="H152" s="28"/>
      <c r="J152" s="120"/>
    </row>
    <row r="153" spans="1:10" s="121" customFormat="1" ht="13.8">
      <c r="A153" s="182"/>
      <c r="B153" s="26"/>
      <c r="C153" s="26"/>
      <c r="D153" s="29" t="s">
        <v>661</v>
      </c>
      <c r="E153" s="26"/>
      <c r="F153" s="30">
        <f>0.4*3.3*1.2</f>
        <v>1.584</v>
      </c>
      <c r="G153" s="298"/>
      <c r="H153" s="28"/>
      <c r="J153" s="120"/>
    </row>
    <row r="154" spans="1:10" s="123" customFormat="1" ht="13.8">
      <c r="A154" s="182">
        <v>68</v>
      </c>
      <c r="B154" s="26">
        <v>962</v>
      </c>
      <c r="C154" s="26">
        <v>962052211</v>
      </c>
      <c r="D154" s="26" t="s">
        <v>244</v>
      </c>
      <c r="E154" s="26" t="s">
        <v>17</v>
      </c>
      <c r="F154" s="27">
        <f>SUM(F155:F157)</f>
        <v>20.787599999999998</v>
      </c>
      <c r="G154" s="298"/>
      <c r="H154" s="28">
        <f>F154*G154</f>
        <v>0</v>
      </c>
      <c r="J154" s="120"/>
    </row>
    <row r="155" spans="1:10" s="121" customFormat="1" ht="13.8">
      <c r="A155" s="182"/>
      <c r="B155" s="26"/>
      <c r="C155" s="26"/>
      <c r="D155" s="29" t="s">
        <v>659</v>
      </c>
      <c r="E155" s="26"/>
      <c r="F155" s="30">
        <f>0.27*1.2*2+2*(0.27*1.2*0.8)</f>
        <v>1.1664</v>
      </c>
      <c r="G155" s="298"/>
      <c r="H155" s="28"/>
      <c r="J155" s="120"/>
    </row>
    <row r="156" spans="1:10" s="121" customFormat="1" ht="13.8">
      <c r="A156" s="182"/>
      <c r="B156" s="26"/>
      <c r="C156" s="26"/>
      <c r="D156" s="29" t="s">
        <v>660</v>
      </c>
      <c r="E156" s="26"/>
      <c r="F156" s="30">
        <f>3*(1.15+1.28+1.15+0.52+2.21)</f>
        <v>18.93</v>
      </c>
      <c r="G156" s="298"/>
      <c r="H156" s="28"/>
      <c r="J156" s="120"/>
    </row>
    <row r="157" spans="1:10" s="121" customFormat="1" ht="13.8">
      <c r="A157" s="182"/>
      <c r="B157" s="26"/>
      <c r="C157" s="26"/>
      <c r="D157" s="29" t="s">
        <v>706</v>
      </c>
      <c r="E157" s="26"/>
      <c r="F157" s="30">
        <f>0.16*0.6*7.2</f>
        <v>0.6912</v>
      </c>
      <c r="G157" s="298"/>
      <c r="H157" s="28"/>
      <c r="J157" s="120"/>
    </row>
    <row r="158" spans="1:10" s="123" customFormat="1" ht="13.8">
      <c r="A158" s="182">
        <v>69</v>
      </c>
      <c r="B158" s="26">
        <v>965</v>
      </c>
      <c r="C158" s="26">
        <v>965043341</v>
      </c>
      <c r="D158" s="26" t="s">
        <v>240</v>
      </c>
      <c r="E158" s="26" t="s">
        <v>17</v>
      </c>
      <c r="F158" s="27">
        <f>SUM(F159:F162)</f>
        <v>32.577</v>
      </c>
      <c r="G158" s="298"/>
      <c r="H158" s="28">
        <f>F158*G158</f>
        <v>0</v>
      </c>
      <c r="J158" s="120"/>
    </row>
    <row r="159" spans="1:10" s="121" customFormat="1" ht="21">
      <c r="A159" s="182"/>
      <c r="B159" s="26"/>
      <c r="C159" s="26"/>
      <c r="D159" s="29" t="s">
        <v>641</v>
      </c>
      <c r="E159" s="26"/>
      <c r="F159" s="30">
        <f>0.05*(277.8-228.5-7)</f>
        <v>2.1150000000000007</v>
      </c>
      <c r="G159" s="298"/>
      <c r="H159" s="28"/>
      <c r="J159" s="120"/>
    </row>
    <row r="160" spans="1:10" s="121" customFormat="1" ht="21">
      <c r="A160" s="182"/>
      <c r="B160" s="26"/>
      <c r="C160" s="26"/>
      <c r="D160" s="29" t="s">
        <v>642</v>
      </c>
      <c r="E160" s="26"/>
      <c r="F160" s="30">
        <f>0.07*(12.3+11.5+16.4+1.2+3+24.3+73+56.5+3.1+27.2)</f>
        <v>15.995</v>
      </c>
      <c r="G160" s="298"/>
      <c r="H160" s="28"/>
      <c r="J160" s="120"/>
    </row>
    <row r="161" spans="1:10" s="121" customFormat="1" ht="21">
      <c r="A161" s="182"/>
      <c r="B161" s="26"/>
      <c r="C161" s="26"/>
      <c r="D161" s="29" t="s">
        <v>643</v>
      </c>
      <c r="E161" s="26"/>
      <c r="F161" s="30">
        <f>0.05*(211.1-72.2-123.4)</f>
        <v>0.7749999999999986</v>
      </c>
      <c r="G161" s="298"/>
      <c r="H161" s="28"/>
      <c r="J161" s="120"/>
    </row>
    <row r="162" spans="1:10" s="121" customFormat="1" ht="21">
      <c r="A162" s="182"/>
      <c r="B162" s="26"/>
      <c r="C162" s="26"/>
      <c r="D162" s="29" t="s">
        <v>644</v>
      </c>
      <c r="E162" s="26"/>
      <c r="F162" s="30">
        <f>0.07*(10.8+13.8+44.5+2.1+1+39.1+29.6+8.4+5.6+40.7)</f>
        <v>13.691999999999998</v>
      </c>
      <c r="G162" s="298"/>
      <c r="H162" s="28"/>
      <c r="J162" s="120"/>
    </row>
    <row r="163" spans="1:10" s="123" customFormat="1" ht="20.4">
      <c r="A163" s="182">
        <v>70</v>
      </c>
      <c r="B163" s="26">
        <v>965</v>
      </c>
      <c r="C163" s="26">
        <v>965082933</v>
      </c>
      <c r="D163" s="26" t="s">
        <v>251</v>
      </c>
      <c r="E163" s="26" t="s">
        <v>18</v>
      </c>
      <c r="F163" s="27">
        <f>F164</f>
        <v>30.4375</v>
      </c>
      <c r="G163" s="298"/>
      <c r="H163" s="28">
        <f>F163*G163</f>
        <v>0</v>
      </c>
      <c r="J163" s="120"/>
    </row>
    <row r="164" spans="1:10" s="121" customFormat="1" ht="24" customHeight="1">
      <c r="A164" s="182"/>
      <c r="B164" s="26"/>
      <c r="C164" s="26"/>
      <c r="D164" s="29" t="s">
        <v>707</v>
      </c>
      <c r="E164" s="26"/>
      <c r="F164" s="30">
        <f>22+4.5+5*(0.75*0.75)+2*(0.75*0.75)</f>
        <v>30.4375</v>
      </c>
      <c r="G164" s="298"/>
      <c r="H164" s="28"/>
      <c r="J164" s="120"/>
    </row>
    <row r="165" spans="1:10" s="123" customFormat="1" ht="13.8">
      <c r="A165" s="182">
        <v>71</v>
      </c>
      <c r="B165" s="26">
        <v>966</v>
      </c>
      <c r="C165" s="26">
        <v>966071711</v>
      </c>
      <c r="D165" s="26" t="s">
        <v>262</v>
      </c>
      <c r="E165" s="26" t="s">
        <v>26</v>
      </c>
      <c r="F165" s="27">
        <f>F166</f>
        <v>4</v>
      </c>
      <c r="G165" s="298"/>
      <c r="H165" s="28">
        <f>F165*G165</f>
        <v>0</v>
      </c>
      <c r="J165" s="120"/>
    </row>
    <row r="166" spans="1:10" s="121" customFormat="1" ht="13.8">
      <c r="A166" s="182"/>
      <c r="B166" s="26"/>
      <c r="C166" s="26"/>
      <c r="D166" s="29" t="s">
        <v>263</v>
      </c>
      <c r="E166" s="26"/>
      <c r="F166" s="30">
        <v>4</v>
      </c>
      <c r="G166" s="298"/>
      <c r="H166" s="28"/>
      <c r="J166" s="120"/>
    </row>
    <row r="167" spans="1:10" s="123" customFormat="1" ht="13.8">
      <c r="A167" s="182">
        <v>72</v>
      </c>
      <c r="B167" s="26">
        <v>966</v>
      </c>
      <c r="C167" s="26">
        <v>966072810</v>
      </c>
      <c r="D167" s="26" t="s">
        <v>473</v>
      </c>
      <c r="E167" s="26" t="s">
        <v>74</v>
      </c>
      <c r="F167" s="27">
        <f>F168</f>
        <v>5.2</v>
      </c>
      <c r="G167" s="298"/>
      <c r="H167" s="28">
        <f>F167*G167</f>
        <v>0</v>
      </c>
      <c r="J167" s="120"/>
    </row>
    <row r="168" spans="1:10" s="121" customFormat="1" ht="13.8">
      <c r="A168" s="182"/>
      <c r="B168" s="26"/>
      <c r="C168" s="26"/>
      <c r="D168" s="29" t="s">
        <v>474</v>
      </c>
      <c r="E168" s="26"/>
      <c r="F168" s="30">
        <v>5.2</v>
      </c>
      <c r="G168" s="298"/>
      <c r="H168" s="28"/>
      <c r="J168" s="120"/>
    </row>
    <row r="169" spans="1:10" s="123" customFormat="1" ht="13.8">
      <c r="A169" s="182">
        <v>73</v>
      </c>
      <c r="B169" s="26">
        <v>966</v>
      </c>
      <c r="C169" s="26">
        <v>966073810</v>
      </c>
      <c r="D169" s="26" t="s">
        <v>475</v>
      </c>
      <c r="E169" s="26" t="s">
        <v>26</v>
      </c>
      <c r="F169" s="27">
        <f>F170</f>
        <v>1</v>
      </c>
      <c r="G169" s="298"/>
      <c r="H169" s="28">
        <f>F169*G169</f>
        <v>0</v>
      </c>
      <c r="J169" s="120"/>
    </row>
    <row r="170" spans="1:10" s="121" customFormat="1" ht="13.8">
      <c r="A170" s="182"/>
      <c r="B170" s="26"/>
      <c r="C170" s="26"/>
      <c r="D170" s="29" t="s">
        <v>474</v>
      </c>
      <c r="E170" s="26"/>
      <c r="F170" s="30">
        <v>1</v>
      </c>
      <c r="G170" s="298"/>
      <c r="H170" s="28"/>
      <c r="J170" s="120"/>
    </row>
    <row r="171" spans="1:10" s="123" customFormat="1" ht="13.8">
      <c r="A171" s="182">
        <v>74</v>
      </c>
      <c r="B171" s="26">
        <v>968</v>
      </c>
      <c r="C171" s="26">
        <v>968062377</v>
      </c>
      <c r="D171" s="26" t="s">
        <v>258</v>
      </c>
      <c r="E171" s="26" t="s">
        <v>18</v>
      </c>
      <c r="F171" s="27">
        <f>SUM(F172:F173)</f>
        <v>133.98000000000002</v>
      </c>
      <c r="G171" s="298"/>
      <c r="H171" s="28">
        <f>F171*G171</f>
        <v>0</v>
      </c>
      <c r="J171" s="120"/>
    </row>
    <row r="172" spans="1:10" s="121" customFormat="1" ht="13.8">
      <c r="A172" s="182"/>
      <c r="B172" s="26"/>
      <c r="C172" s="26"/>
      <c r="D172" s="29" t="s">
        <v>687</v>
      </c>
      <c r="E172" s="26"/>
      <c r="F172" s="30">
        <f>2.1*(5.1+9.6+14.3)</f>
        <v>60.900000000000006</v>
      </c>
      <c r="G172" s="298"/>
      <c r="H172" s="28"/>
      <c r="J172" s="120"/>
    </row>
    <row r="173" spans="1:10" s="121" customFormat="1" ht="13.8">
      <c r="A173" s="182"/>
      <c r="B173" s="26"/>
      <c r="C173" s="26"/>
      <c r="D173" s="29" t="s">
        <v>677</v>
      </c>
      <c r="E173" s="26"/>
      <c r="F173" s="30">
        <f>2.1*(1.2+9.6+9.6+14.4)</f>
        <v>73.08</v>
      </c>
      <c r="G173" s="298"/>
      <c r="H173" s="28"/>
      <c r="J173" s="120"/>
    </row>
    <row r="174" spans="1:10" s="123" customFormat="1" ht="13.8">
      <c r="A174" s="182">
        <v>75</v>
      </c>
      <c r="B174" s="26">
        <v>968</v>
      </c>
      <c r="C174" s="26">
        <v>968072357</v>
      </c>
      <c r="D174" s="26" t="s">
        <v>259</v>
      </c>
      <c r="E174" s="26" t="s">
        <v>18</v>
      </c>
      <c r="F174" s="27">
        <f>F175</f>
        <v>11.88</v>
      </c>
      <c r="G174" s="298"/>
      <c r="H174" s="28">
        <f>F174*G174</f>
        <v>0</v>
      </c>
      <c r="J174" s="120"/>
    </row>
    <row r="175" spans="1:10" s="121" customFormat="1" ht="13.8">
      <c r="A175" s="182"/>
      <c r="B175" s="26"/>
      <c r="C175" s="26"/>
      <c r="D175" s="29" t="s">
        <v>686</v>
      </c>
      <c r="E175" s="26"/>
      <c r="F175" s="30">
        <f>(1.2*0.9)*11</f>
        <v>11.88</v>
      </c>
      <c r="G175" s="298"/>
      <c r="H175" s="28"/>
      <c r="J175" s="120"/>
    </row>
    <row r="176" spans="1:10" s="123" customFormat="1" ht="13.8">
      <c r="A176" s="182">
        <v>76</v>
      </c>
      <c r="B176" s="26">
        <v>968</v>
      </c>
      <c r="C176" s="26">
        <v>968072361</v>
      </c>
      <c r="D176" s="26" t="s">
        <v>256</v>
      </c>
      <c r="E176" s="26" t="s">
        <v>26</v>
      </c>
      <c r="F176" s="27">
        <f>SUM(F177:F183)</f>
        <v>20</v>
      </c>
      <c r="G176" s="298"/>
      <c r="H176" s="28">
        <f>F176*G176</f>
        <v>0</v>
      </c>
      <c r="J176" s="120"/>
    </row>
    <row r="177" spans="1:10" s="121" customFormat="1" ht="13.8">
      <c r="A177" s="182"/>
      <c r="B177" s="26"/>
      <c r="C177" s="26"/>
      <c r="D177" s="29" t="s">
        <v>682</v>
      </c>
      <c r="E177" s="26"/>
      <c r="F177" s="30">
        <v>2</v>
      </c>
      <c r="G177" s="298"/>
      <c r="H177" s="28"/>
      <c r="J177" s="120"/>
    </row>
    <row r="178" spans="1:10" s="121" customFormat="1" ht="13.8">
      <c r="A178" s="182"/>
      <c r="B178" s="26"/>
      <c r="C178" s="26"/>
      <c r="D178" s="29" t="s">
        <v>685</v>
      </c>
      <c r="E178" s="26"/>
      <c r="F178" s="30">
        <v>1</v>
      </c>
      <c r="G178" s="298"/>
      <c r="H178" s="28"/>
      <c r="J178" s="120"/>
    </row>
    <row r="179" spans="1:10" s="121" customFormat="1" ht="13.8">
      <c r="A179" s="182"/>
      <c r="B179" s="26"/>
      <c r="C179" s="26"/>
      <c r="D179" s="29" t="s">
        <v>683</v>
      </c>
      <c r="E179" s="26"/>
      <c r="F179" s="30">
        <v>3</v>
      </c>
      <c r="G179" s="298"/>
      <c r="H179" s="28"/>
      <c r="J179" s="120"/>
    </row>
    <row r="180" spans="1:10" s="121" customFormat="1" ht="13.8">
      <c r="A180" s="182"/>
      <c r="B180" s="26"/>
      <c r="C180" s="26"/>
      <c r="D180" s="29" t="s">
        <v>684</v>
      </c>
      <c r="E180" s="26"/>
      <c r="F180" s="30">
        <v>7</v>
      </c>
      <c r="G180" s="298"/>
      <c r="H180" s="28"/>
      <c r="J180" s="120"/>
    </row>
    <row r="181" spans="1:10" s="121" customFormat="1" ht="13.8">
      <c r="A181" s="182"/>
      <c r="B181" s="26"/>
      <c r="C181" s="26"/>
      <c r="D181" s="29" t="s">
        <v>678</v>
      </c>
      <c r="E181" s="26"/>
      <c r="F181" s="30">
        <v>2</v>
      </c>
      <c r="G181" s="298"/>
      <c r="H181" s="28"/>
      <c r="J181" s="120"/>
    </row>
    <row r="182" spans="1:10" s="121" customFormat="1" ht="13.8">
      <c r="A182" s="182"/>
      <c r="B182" s="26"/>
      <c r="C182" s="26"/>
      <c r="D182" s="29" t="s">
        <v>679</v>
      </c>
      <c r="E182" s="26"/>
      <c r="F182" s="30">
        <v>2</v>
      </c>
      <c r="G182" s="298"/>
      <c r="H182" s="28"/>
      <c r="J182" s="120"/>
    </row>
    <row r="183" spans="1:10" s="121" customFormat="1" ht="13.8">
      <c r="A183" s="182"/>
      <c r="B183" s="26"/>
      <c r="C183" s="26"/>
      <c r="D183" s="29" t="s">
        <v>680</v>
      </c>
      <c r="E183" s="26"/>
      <c r="F183" s="30">
        <v>3</v>
      </c>
      <c r="G183" s="298"/>
      <c r="H183" s="28"/>
      <c r="J183" s="120"/>
    </row>
    <row r="184" spans="1:10" s="123" customFormat="1" ht="13.8">
      <c r="A184" s="182">
        <v>77</v>
      </c>
      <c r="B184" s="26">
        <v>968</v>
      </c>
      <c r="C184" s="26">
        <v>968072455</v>
      </c>
      <c r="D184" s="26" t="s">
        <v>257</v>
      </c>
      <c r="E184" s="26" t="s">
        <v>18</v>
      </c>
      <c r="F184" s="27">
        <f>SUM(F185:F186)</f>
        <v>66.452</v>
      </c>
      <c r="G184" s="298"/>
      <c r="H184" s="28">
        <f>F184*G184</f>
        <v>0</v>
      </c>
      <c r="J184" s="120"/>
    </row>
    <row r="185" spans="1:10" s="121" customFormat="1" ht="21">
      <c r="A185" s="182"/>
      <c r="B185" s="26"/>
      <c r="C185" s="26"/>
      <c r="D185" s="29" t="s">
        <v>688</v>
      </c>
      <c r="E185" s="26"/>
      <c r="F185" s="30">
        <f>1.5*2.8+2.2*2.1+(0.92*2.8)*2+1.8+1.6+1.5*2+6*1.6+3*1.2+1.6+1.5*2+1.2*2+1.6*2</f>
        <v>43.772000000000006</v>
      </c>
      <c r="G185" s="298"/>
      <c r="H185" s="28"/>
      <c r="J185" s="120"/>
    </row>
    <row r="186" spans="1:10" s="121" customFormat="1" ht="21">
      <c r="A186" s="182"/>
      <c r="B186" s="26"/>
      <c r="C186" s="26"/>
      <c r="D186" s="29" t="s">
        <v>681</v>
      </c>
      <c r="E186" s="26"/>
      <c r="F186" s="30">
        <f>2*(0.8*2.7)+1.6*6+1.8*2+2*(1.3*0.6)+1.2*3</f>
        <v>22.68</v>
      </c>
      <c r="G186" s="298"/>
      <c r="H186" s="28"/>
      <c r="J186" s="120"/>
    </row>
    <row r="187" spans="1:10" s="123" customFormat="1" ht="13.8">
      <c r="A187" s="182">
        <v>78</v>
      </c>
      <c r="B187" s="26">
        <v>978</v>
      </c>
      <c r="C187" s="26">
        <v>978059541</v>
      </c>
      <c r="D187" s="26" t="s">
        <v>141</v>
      </c>
      <c r="E187" s="26" t="s">
        <v>18</v>
      </c>
      <c r="F187" s="27">
        <f>SUM(F188:F189)</f>
        <v>176.15000000000003</v>
      </c>
      <c r="G187" s="298"/>
      <c r="H187" s="28">
        <f>F187*G187</f>
        <v>0</v>
      </c>
      <c r="J187" s="120"/>
    </row>
    <row r="188" spans="1:10" s="121" customFormat="1" ht="31.2">
      <c r="A188" s="182"/>
      <c r="B188" s="26"/>
      <c r="C188" s="26"/>
      <c r="D188" s="29" t="s">
        <v>655</v>
      </c>
      <c r="E188" s="26"/>
      <c r="F188" s="30">
        <f>0.1*(5.6+5.6+4.5+4+4.9)+1.3*(3.5+7.1+3+4.1)+1.4*(2.8+1.6+3+1.7)+1.5*(3.3+2.9+6.9+15)+2.1*(2.4+3)</f>
        <v>91.70000000000002</v>
      </c>
      <c r="G188" s="298"/>
      <c r="H188" s="28"/>
      <c r="J188" s="120"/>
    </row>
    <row r="189" spans="1:10" s="121" customFormat="1" ht="21">
      <c r="A189" s="182"/>
      <c r="B189" s="26"/>
      <c r="C189" s="26"/>
      <c r="D189" s="29" t="s">
        <v>656</v>
      </c>
      <c r="E189" s="26"/>
      <c r="F189" s="30">
        <f>1.5*(4.8+3.5)+3*(3+3+3+4.2+2.4+1.8+2+4.6)</f>
        <v>84.45</v>
      </c>
      <c r="G189" s="298"/>
      <c r="H189" s="28"/>
      <c r="J189" s="120"/>
    </row>
    <row r="190" spans="1:8" ht="15">
      <c r="A190" s="183"/>
      <c r="B190" s="15"/>
      <c r="C190" s="15">
        <v>99</v>
      </c>
      <c r="D190" s="15" t="s">
        <v>346</v>
      </c>
      <c r="E190" s="15"/>
      <c r="F190" s="16"/>
      <c r="G190" s="299"/>
      <c r="H190" s="17">
        <f>SUM(H191:H205)</f>
        <v>0</v>
      </c>
    </row>
    <row r="191" spans="1:11" s="123" customFormat="1" ht="20.4">
      <c r="A191" s="182">
        <v>79</v>
      </c>
      <c r="B191" s="26">
        <v>997</v>
      </c>
      <c r="C191" s="26">
        <v>997013112</v>
      </c>
      <c r="D191" s="26" t="s">
        <v>857</v>
      </c>
      <c r="E191" s="26" t="s">
        <v>130</v>
      </c>
      <c r="F191" s="27">
        <f>SUM(F195:F202)</f>
        <v>294</v>
      </c>
      <c r="G191" s="298"/>
      <c r="H191" s="28">
        <f>F191*G191</f>
        <v>0</v>
      </c>
      <c r="J191" s="120"/>
      <c r="K191" s="295"/>
    </row>
    <row r="192" spans="1:10" s="123" customFormat="1" ht="13.8">
      <c r="A192" s="182">
        <v>80</v>
      </c>
      <c r="B192" s="26">
        <v>997</v>
      </c>
      <c r="C192" s="26">
        <v>997013501</v>
      </c>
      <c r="D192" s="26" t="s">
        <v>414</v>
      </c>
      <c r="E192" s="26" t="s">
        <v>130</v>
      </c>
      <c r="F192" s="27">
        <f>F191</f>
        <v>294</v>
      </c>
      <c r="G192" s="298"/>
      <c r="H192" s="28">
        <f>F192*G192</f>
        <v>0</v>
      </c>
      <c r="J192" s="120"/>
    </row>
    <row r="193" spans="1:10" s="123" customFormat="1" ht="13.8">
      <c r="A193" s="182">
        <v>81</v>
      </c>
      <c r="B193" s="26">
        <v>997</v>
      </c>
      <c r="C193" s="26">
        <v>997013509</v>
      </c>
      <c r="D193" s="26" t="s">
        <v>169</v>
      </c>
      <c r="E193" s="26" t="s">
        <v>130</v>
      </c>
      <c r="F193" s="27">
        <f>F194</f>
        <v>5880</v>
      </c>
      <c r="G193" s="298"/>
      <c r="H193" s="28">
        <f>F193*G193</f>
        <v>0</v>
      </c>
      <c r="J193" s="120"/>
    </row>
    <row r="194" spans="1:10" s="121" customFormat="1" ht="13.8">
      <c r="A194" s="182"/>
      <c r="B194" s="26"/>
      <c r="C194" s="26"/>
      <c r="D194" s="29" t="s">
        <v>1801</v>
      </c>
      <c r="E194" s="26"/>
      <c r="F194" s="30">
        <f>20*294</f>
        <v>5880</v>
      </c>
      <c r="G194" s="298"/>
      <c r="H194" s="28"/>
      <c r="J194" s="120"/>
    </row>
    <row r="195" spans="1:11" s="123" customFormat="1" ht="13.8">
      <c r="A195" s="182">
        <v>79</v>
      </c>
      <c r="B195" s="26">
        <v>997</v>
      </c>
      <c r="C195" s="26" t="s">
        <v>1785</v>
      </c>
      <c r="D195" s="26" t="s">
        <v>1786</v>
      </c>
      <c r="E195" s="26" t="s">
        <v>130</v>
      </c>
      <c r="F195" s="27">
        <v>11</v>
      </c>
      <c r="G195" s="298"/>
      <c r="H195" s="28">
        <f aca="true" t="shared" si="0" ref="H195:H202">F195*G195</f>
        <v>0</v>
      </c>
      <c r="J195" s="294"/>
      <c r="K195" s="295"/>
    </row>
    <row r="196" spans="1:10" s="123" customFormat="1" ht="13.8">
      <c r="A196" s="182">
        <v>80</v>
      </c>
      <c r="B196" s="26">
        <v>997</v>
      </c>
      <c r="C196" s="26">
        <v>997013645</v>
      </c>
      <c r="D196" s="26" t="s">
        <v>1787</v>
      </c>
      <c r="E196" s="26" t="s">
        <v>130</v>
      </c>
      <c r="F196" s="27">
        <v>4.3</v>
      </c>
      <c r="G196" s="298"/>
      <c r="H196" s="28">
        <f t="shared" si="0"/>
        <v>0</v>
      </c>
      <c r="J196" s="120"/>
    </row>
    <row r="197" spans="1:10" s="123" customFormat="1" ht="20.4">
      <c r="A197" s="182">
        <v>81</v>
      </c>
      <c r="B197" s="26">
        <v>997</v>
      </c>
      <c r="C197" s="26" t="s">
        <v>1788</v>
      </c>
      <c r="D197" s="26" t="s">
        <v>1789</v>
      </c>
      <c r="E197" s="26" t="s">
        <v>130</v>
      </c>
      <c r="F197" s="27">
        <v>11</v>
      </c>
      <c r="G197" s="298"/>
      <c r="H197" s="28">
        <f t="shared" si="0"/>
        <v>0</v>
      </c>
      <c r="J197" s="120"/>
    </row>
    <row r="198" spans="1:10" s="123" customFormat="1" ht="24" customHeight="1">
      <c r="A198" s="182">
        <v>82</v>
      </c>
      <c r="B198" s="26">
        <v>997</v>
      </c>
      <c r="C198" s="26" t="s">
        <v>1790</v>
      </c>
      <c r="D198" s="26" t="s">
        <v>1791</v>
      </c>
      <c r="E198" s="26" t="s">
        <v>130</v>
      </c>
      <c r="F198" s="27">
        <v>11</v>
      </c>
      <c r="G198" s="298"/>
      <c r="H198" s="28">
        <f t="shared" si="0"/>
        <v>0</v>
      </c>
      <c r="J198" s="120"/>
    </row>
    <row r="199" spans="1:10" s="123" customFormat="1" ht="24" customHeight="1">
      <c r="A199" s="182">
        <v>83</v>
      </c>
      <c r="B199" s="26">
        <v>997</v>
      </c>
      <c r="C199" s="26" t="s">
        <v>1792</v>
      </c>
      <c r="D199" s="26" t="s">
        <v>1793</v>
      </c>
      <c r="E199" s="26" t="s">
        <v>130</v>
      </c>
      <c r="F199" s="27">
        <v>1.3</v>
      </c>
      <c r="G199" s="298"/>
      <c r="H199" s="28">
        <f t="shared" si="0"/>
        <v>0</v>
      </c>
      <c r="J199" s="120"/>
    </row>
    <row r="200" spans="1:10" s="123" customFormat="1" ht="24" customHeight="1">
      <c r="A200" s="182">
        <v>84</v>
      </c>
      <c r="B200" s="26">
        <v>997</v>
      </c>
      <c r="C200" s="26">
        <v>997013861</v>
      </c>
      <c r="D200" s="26" t="s">
        <v>1794</v>
      </c>
      <c r="E200" s="26" t="s">
        <v>130</v>
      </c>
      <c r="F200" s="27">
        <v>145.6</v>
      </c>
      <c r="G200" s="298"/>
      <c r="H200" s="28">
        <f t="shared" si="0"/>
        <v>0</v>
      </c>
      <c r="J200" s="120"/>
    </row>
    <row r="201" spans="1:10" s="123" customFormat="1" ht="24" customHeight="1">
      <c r="A201" s="182">
        <v>85</v>
      </c>
      <c r="B201" s="26">
        <v>997</v>
      </c>
      <c r="C201" s="26">
        <v>997013863</v>
      </c>
      <c r="D201" s="26" t="s">
        <v>1795</v>
      </c>
      <c r="E201" s="26" t="s">
        <v>130</v>
      </c>
      <c r="F201" s="27">
        <v>50</v>
      </c>
      <c r="G201" s="298"/>
      <c r="H201" s="28">
        <f t="shared" si="0"/>
        <v>0</v>
      </c>
      <c r="J201" s="120"/>
    </row>
    <row r="202" spans="1:10" s="123" customFormat="1" ht="24" customHeight="1">
      <c r="A202" s="182">
        <v>86</v>
      </c>
      <c r="B202" s="26">
        <v>997</v>
      </c>
      <c r="C202" s="26">
        <v>997013869</v>
      </c>
      <c r="D202" s="26" t="s">
        <v>1796</v>
      </c>
      <c r="E202" s="26" t="s">
        <v>130</v>
      </c>
      <c r="F202" s="27">
        <v>59.8</v>
      </c>
      <c r="G202" s="298"/>
      <c r="H202" s="28">
        <f t="shared" si="0"/>
        <v>0</v>
      </c>
      <c r="J202" s="120"/>
    </row>
    <row r="203" spans="1:10" s="123" customFormat="1" ht="13.8">
      <c r="A203" s="182">
        <v>87</v>
      </c>
      <c r="B203" s="26">
        <v>998</v>
      </c>
      <c r="C203" s="26">
        <v>998011001</v>
      </c>
      <c r="D203" s="26" t="s">
        <v>348</v>
      </c>
      <c r="E203" s="26" t="s">
        <v>130</v>
      </c>
      <c r="F203" s="27">
        <v>287</v>
      </c>
      <c r="G203" s="298"/>
      <c r="H203" s="28">
        <f aca="true" t="shared" si="1" ref="H203:H204">F203*G203</f>
        <v>0</v>
      </c>
      <c r="J203" s="120"/>
    </row>
    <row r="204" spans="1:10" s="123" customFormat="1" ht="13.8">
      <c r="A204" s="182">
        <v>88</v>
      </c>
      <c r="B204" s="26">
        <v>998</v>
      </c>
      <c r="C204" s="26" t="s">
        <v>63</v>
      </c>
      <c r="D204" s="26" t="s">
        <v>47</v>
      </c>
      <c r="E204" s="26" t="s">
        <v>46</v>
      </c>
      <c r="F204" s="27">
        <f>F205</f>
        <v>1</v>
      </c>
      <c r="G204" s="298"/>
      <c r="H204" s="28">
        <f t="shared" si="1"/>
        <v>0</v>
      </c>
      <c r="J204" s="120"/>
    </row>
    <row r="205" spans="1:10" s="121" customFormat="1" ht="24" customHeight="1">
      <c r="A205" s="182"/>
      <c r="B205" s="26"/>
      <c r="C205" s="26"/>
      <c r="D205" s="29" t="s">
        <v>64</v>
      </c>
      <c r="E205" s="26"/>
      <c r="F205" s="30">
        <v>1</v>
      </c>
      <c r="G205" s="298"/>
      <c r="H205" s="28"/>
      <c r="J205" s="120"/>
    </row>
    <row r="206" spans="1:10" ht="15">
      <c r="A206" s="185"/>
      <c r="B206" s="11"/>
      <c r="C206" s="11" t="s">
        <v>19</v>
      </c>
      <c r="D206" s="11" t="s">
        <v>20</v>
      </c>
      <c r="E206" s="11"/>
      <c r="F206" s="12"/>
      <c r="G206" s="301"/>
      <c r="H206" s="13">
        <f>H207+H235+H256+H308+H318+H330+H338+H354+H372+H441+H444+H580+H610+H637+H658+H670+H693+H699+H724</f>
        <v>0</v>
      </c>
      <c r="J206" s="120"/>
    </row>
    <row r="207" spans="1:8" ht="15">
      <c r="A207" s="183"/>
      <c r="B207" s="15"/>
      <c r="C207" s="15">
        <v>711</v>
      </c>
      <c r="D207" s="15" t="s">
        <v>125</v>
      </c>
      <c r="E207" s="15"/>
      <c r="F207" s="16"/>
      <c r="G207" s="299"/>
      <c r="H207" s="17">
        <f>SUM(H208:H234)</f>
        <v>0</v>
      </c>
    </row>
    <row r="208" spans="1:10" s="118" customFormat="1" ht="13.8">
      <c r="A208" s="182">
        <v>89</v>
      </c>
      <c r="B208" s="26">
        <v>711</v>
      </c>
      <c r="C208" s="26">
        <v>711111001</v>
      </c>
      <c r="D208" s="26" t="s">
        <v>124</v>
      </c>
      <c r="E208" s="26" t="s">
        <v>18</v>
      </c>
      <c r="F208" s="27">
        <f>SUM(F209:F211)</f>
        <v>372.6242</v>
      </c>
      <c r="G208" s="298"/>
      <c r="H208" s="28">
        <f>F208*G208</f>
        <v>0</v>
      </c>
      <c r="J208" s="120"/>
    </row>
    <row r="209" spans="1:10" s="118" customFormat="1" ht="21">
      <c r="A209" s="182"/>
      <c r="B209" s="26"/>
      <c r="C209" s="26"/>
      <c r="D209" s="29" t="s">
        <v>808</v>
      </c>
      <c r="E209" s="26"/>
      <c r="F209" s="30">
        <f>6*(0.8*0.8)+2*7.4+1</f>
        <v>19.64</v>
      </c>
      <c r="G209" s="298"/>
      <c r="H209" s="28"/>
      <c r="J209" s="120"/>
    </row>
    <row r="210" spans="1:10" s="118" customFormat="1" ht="13.8">
      <c r="A210" s="182"/>
      <c r="B210" s="26"/>
      <c r="C210" s="26"/>
      <c r="D210" s="29" t="s">
        <v>809</v>
      </c>
      <c r="E210" s="26"/>
      <c r="F210" s="30">
        <f>14.8*1</f>
        <v>14.8</v>
      </c>
      <c r="G210" s="298"/>
      <c r="H210" s="28"/>
      <c r="J210" s="120"/>
    </row>
    <row r="211" spans="1:10" s="118" customFormat="1" ht="13.8">
      <c r="A211" s="182"/>
      <c r="B211" s="26"/>
      <c r="C211" s="26"/>
      <c r="D211" s="29" t="s">
        <v>719</v>
      </c>
      <c r="E211" s="26"/>
      <c r="F211" s="30">
        <f>F227</f>
        <v>338.1842</v>
      </c>
      <c r="G211" s="298"/>
      <c r="H211" s="28"/>
      <c r="J211" s="120"/>
    </row>
    <row r="212" spans="1:10" s="118" customFormat="1" ht="13.8">
      <c r="A212" s="182">
        <v>90</v>
      </c>
      <c r="B212" s="26">
        <v>711</v>
      </c>
      <c r="C212" s="26">
        <v>711112001</v>
      </c>
      <c r="D212" s="26" t="s">
        <v>137</v>
      </c>
      <c r="E212" s="26" t="s">
        <v>18</v>
      </c>
      <c r="F212" s="27">
        <f>SUM(F213:F214)</f>
        <v>132.20400000000004</v>
      </c>
      <c r="G212" s="298"/>
      <c r="H212" s="28">
        <f>F212*G212</f>
        <v>0</v>
      </c>
      <c r="J212" s="120"/>
    </row>
    <row r="213" spans="1:10" s="118" customFormat="1" ht="13.8">
      <c r="A213" s="182"/>
      <c r="B213" s="26"/>
      <c r="C213" s="26"/>
      <c r="D213" s="29" t="s">
        <v>810</v>
      </c>
      <c r="E213" s="26"/>
      <c r="F213" s="30">
        <f>2*(0.8*0.5)</f>
        <v>0.8</v>
      </c>
      <c r="G213" s="298"/>
      <c r="H213" s="28"/>
      <c r="J213" s="120"/>
    </row>
    <row r="214" spans="1:10" s="118" customFormat="1" ht="13.8">
      <c r="A214" s="182"/>
      <c r="B214" s="26"/>
      <c r="C214" s="26"/>
      <c r="D214" s="29" t="s">
        <v>719</v>
      </c>
      <c r="E214" s="26"/>
      <c r="F214" s="30">
        <f>F229</f>
        <v>131.40400000000002</v>
      </c>
      <c r="G214" s="298"/>
      <c r="H214" s="28"/>
      <c r="J214" s="120"/>
    </row>
    <row r="215" spans="1:10" s="167" customFormat="1" ht="15">
      <c r="A215" s="184">
        <v>91</v>
      </c>
      <c r="B215" s="164">
        <v>111</v>
      </c>
      <c r="C215" s="164">
        <v>11163153</v>
      </c>
      <c r="D215" s="164" t="s">
        <v>126</v>
      </c>
      <c r="E215" s="164" t="s">
        <v>127</v>
      </c>
      <c r="F215" s="165">
        <f>(F208+F212)*0.4</f>
        <v>201.93128000000002</v>
      </c>
      <c r="G215" s="300"/>
      <c r="H215" s="166">
        <f>F215*G215</f>
        <v>0</v>
      </c>
      <c r="J215" s="168"/>
    </row>
    <row r="216" spans="1:10" s="123" customFormat="1" ht="13.8">
      <c r="A216" s="182">
        <v>92</v>
      </c>
      <c r="B216" s="26">
        <v>711</v>
      </c>
      <c r="C216" s="26">
        <v>711131811</v>
      </c>
      <c r="D216" s="26" t="s">
        <v>241</v>
      </c>
      <c r="E216" s="26" t="s">
        <v>18</v>
      </c>
      <c r="F216" s="27">
        <f>SUM(F217:F218)</f>
        <v>977.8</v>
      </c>
      <c r="G216" s="298"/>
      <c r="H216" s="28">
        <f>F216*G216</f>
        <v>0</v>
      </c>
      <c r="J216" s="120"/>
    </row>
    <row r="217" spans="1:10" s="118" customFormat="1" ht="21">
      <c r="A217" s="182"/>
      <c r="B217" s="26"/>
      <c r="C217" s="26"/>
      <c r="D217" s="29" t="s">
        <v>645</v>
      </c>
      <c r="E217" s="26"/>
      <c r="F217" s="30">
        <f>2*277.8</f>
        <v>555.6</v>
      </c>
      <c r="G217" s="298"/>
      <c r="H217" s="28"/>
      <c r="J217" s="120"/>
    </row>
    <row r="218" spans="1:10" s="118" customFormat="1" ht="21">
      <c r="A218" s="182"/>
      <c r="B218" s="26"/>
      <c r="C218" s="26"/>
      <c r="D218" s="29" t="s">
        <v>646</v>
      </c>
      <c r="E218" s="26"/>
      <c r="F218" s="30">
        <f>2*211.1</f>
        <v>422.2</v>
      </c>
      <c r="G218" s="298"/>
      <c r="H218" s="28"/>
      <c r="J218" s="120"/>
    </row>
    <row r="219" spans="1:10" s="118" customFormat="1" ht="13.8">
      <c r="A219" s="182">
        <v>93</v>
      </c>
      <c r="B219" s="26">
        <v>711</v>
      </c>
      <c r="C219" s="26">
        <v>711141559</v>
      </c>
      <c r="D219" s="26" t="s">
        <v>128</v>
      </c>
      <c r="E219" s="26" t="s">
        <v>18</v>
      </c>
      <c r="F219" s="27">
        <f>SUM(F220:F223)</f>
        <v>73.72</v>
      </c>
      <c r="G219" s="298"/>
      <c r="H219" s="28">
        <f>F219*G219</f>
        <v>0</v>
      </c>
      <c r="J219" s="120"/>
    </row>
    <row r="220" spans="1:10" s="118" customFormat="1" ht="21">
      <c r="A220" s="182"/>
      <c r="B220" s="26"/>
      <c r="C220" s="26"/>
      <c r="D220" s="29" t="s">
        <v>812</v>
      </c>
      <c r="E220" s="26"/>
      <c r="F220" s="30">
        <f>6*(0.8*0.8)+2*7.4+1</f>
        <v>19.64</v>
      </c>
      <c r="G220" s="298"/>
      <c r="H220" s="28"/>
      <c r="J220" s="120"/>
    </row>
    <row r="221" spans="1:10" s="118" customFormat="1" ht="21">
      <c r="A221" s="182"/>
      <c r="B221" s="26"/>
      <c r="C221" s="26"/>
      <c r="D221" s="29" t="s">
        <v>811</v>
      </c>
      <c r="E221" s="26"/>
      <c r="F221" s="30">
        <f>6*(0.8*0.8)+2*7.4+1</f>
        <v>19.64</v>
      </c>
      <c r="G221" s="298"/>
      <c r="H221" s="28"/>
      <c r="J221" s="120"/>
    </row>
    <row r="222" spans="1:10" s="118" customFormat="1" ht="21">
      <c r="A222" s="182"/>
      <c r="B222" s="26"/>
      <c r="C222" s="26"/>
      <c r="D222" s="29" t="s">
        <v>813</v>
      </c>
      <c r="E222" s="26"/>
      <c r="F222" s="30">
        <f>6*(0.8*0.8)+2*7.4+1</f>
        <v>19.64</v>
      </c>
      <c r="G222" s="298"/>
      <c r="H222" s="28"/>
      <c r="J222" s="120"/>
    </row>
    <row r="223" spans="1:10" s="118" customFormat="1" ht="24" customHeight="1">
      <c r="A223" s="182"/>
      <c r="B223" s="26"/>
      <c r="C223" s="26"/>
      <c r="D223" s="29" t="s">
        <v>815</v>
      </c>
      <c r="E223" s="26"/>
      <c r="F223" s="30">
        <f>14.8*1</f>
        <v>14.8</v>
      </c>
      <c r="G223" s="298"/>
      <c r="H223" s="28"/>
      <c r="J223" s="120"/>
    </row>
    <row r="224" spans="1:10" s="167" customFormat="1" ht="21.6">
      <c r="A224" s="184">
        <v>94</v>
      </c>
      <c r="B224" s="164">
        <v>628</v>
      </c>
      <c r="C224" s="164">
        <v>62855001</v>
      </c>
      <c r="D224" s="164" t="s">
        <v>814</v>
      </c>
      <c r="E224" s="164" t="s">
        <v>18</v>
      </c>
      <c r="F224" s="165">
        <f>1.2*F220</f>
        <v>23.568</v>
      </c>
      <c r="G224" s="300"/>
      <c r="H224" s="166">
        <f>F224*G224</f>
        <v>0</v>
      </c>
      <c r="J224" s="168"/>
    </row>
    <row r="225" spans="1:10" s="167" customFormat="1" ht="21.6">
      <c r="A225" s="184">
        <v>95</v>
      </c>
      <c r="B225" s="164">
        <v>628</v>
      </c>
      <c r="C225" s="164">
        <v>62853004</v>
      </c>
      <c r="D225" s="164" t="s">
        <v>282</v>
      </c>
      <c r="E225" s="164" t="s">
        <v>18</v>
      </c>
      <c r="F225" s="165">
        <f>1.2*(F221+F222)</f>
        <v>47.136</v>
      </c>
      <c r="G225" s="300"/>
      <c r="H225" s="166">
        <f>F225*G225</f>
        <v>0</v>
      </c>
      <c r="J225" s="168"/>
    </row>
    <row r="226" spans="1:10" s="167" customFormat="1" ht="21.6">
      <c r="A226" s="184">
        <v>96</v>
      </c>
      <c r="B226" s="164">
        <v>628</v>
      </c>
      <c r="C226" s="164">
        <v>62856010</v>
      </c>
      <c r="D226" s="164" t="s">
        <v>299</v>
      </c>
      <c r="E226" s="164" t="s">
        <v>18</v>
      </c>
      <c r="F226" s="165">
        <f>1.2*F223</f>
        <v>17.76</v>
      </c>
      <c r="G226" s="300"/>
      <c r="H226" s="166">
        <f>F226*G226</f>
        <v>0</v>
      </c>
      <c r="J226" s="168"/>
    </row>
    <row r="227" spans="1:10" s="118" customFormat="1" ht="13.8">
      <c r="A227" s="182">
        <v>97</v>
      </c>
      <c r="B227" s="26">
        <v>711</v>
      </c>
      <c r="C227" s="26">
        <v>711141559</v>
      </c>
      <c r="D227" s="26" t="s">
        <v>128</v>
      </c>
      <c r="E227" s="26" t="s">
        <v>18</v>
      </c>
      <c r="F227" s="27">
        <f>F228</f>
        <v>338.1842</v>
      </c>
      <c r="G227" s="298"/>
      <c r="H227" s="28">
        <f>F227*G227</f>
        <v>0</v>
      </c>
      <c r="J227" s="120"/>
    </row>
    <row r="228" spans="1:10" s="118" customFormat="1" ht="13.8">
      <c r="A228" s="182"/>
      <c r="B228" s="26"/>
      <c r="C228" s="26"/>
      <c r="D228" s="29" t="s">
        <v>718</v>
      </c>
      <c r="E228" s="26"/>
      <c r="F228" s="30">
        <f>14.74*(16.41+1.92)+8*8.5</f>
        <v>338.1842</v>
      </c>
      <c r="G228" s="298"/>
      <c r="H228" s="28"/>
      <c r="J228" s="120"/>
    </row>
    <row r="229" spans="1:10" s="118" customFormat="1" ht="13.8">
      <c r="A229" s="182">
        <v>97</v>
      </c>
      <c r="B229" s="26">
        <v>711</v>
      </c>
      <c r="C229" s="26">
        <v>711142559</v>
      </c>
      <c r="D229" s="26" t="s">
        <v>138</v>
      </c>
      <c r="E229" s="26" t="s">
        <v>18</v>
      </c>
      <c r="F229" s="27">
        <f>F230</f>
        <v>131.40400000000002</v>
      </c>
      <c r="G229" s="298"/>
      <c r="H229" s="28">
        <f>F229*G229</f>
        <v>0</v>
      </c>
      <c r="J229" s="120"/>
    </row>
    <row r="230" spans="1:10" s="118" customFormat="1" ht="13.8">
      <c r="A230" s="182"/>
      <c r="B230" s="26"/>
      <c r="C230" s="26"/>
      <c r="D230" s="29" t="s">
        <v>841</v>
      </c>
      <c r="E230" s="26"/>
      <c r="F230" s="30">
        <f>1.9*(16.41+21.94+16.41+14.4)</f>
        <v>131.40400000000002</v>
      </c>
      <c r="G230" s="298"/>
      <c r="H230" s="28"/>
      <c r="J230" s="120"/>
    </row>
    <row r="231" spans="1:10" s="167" customFormat="1" ht="21.6">
      <c r="A231" s="184">
        <v>99</v>
      </c>
      <c r="B231" s="164">
        <v>628</v>
      </c>
      <c r="C231" s="164">
        <v>62853004</v>
      </c>
      <c r="D231" s="164" t="s">
        <v>282</v>
      </c>
      <c r="E231" s="164" t="s">
        <v>18</v>
      </c>
      <c r="F231" s="165">
        <f>1.15*(F227+F229)</f>
        <v>540.02643</v>
      </c>
      <c r="G231" s="300"/>
      <c r="H231" s="166">
        <f>F231*G231</f>
        <v>0</v>
      </c>
      <c r="J231" s="168"/>
    </row>
    <row r="232" spans="1:10" s="118" customFormat="1" ht="13.8">
      <c r="A232" s="182">
        <v>100</v>
      </c>
      <c r="B232" s="26">
        <v>998</v>
      </c>
      <c r="C232" s="26">
        <v>998711202</v>
      </c>
      <c r="D232" s="26" t="s">
        <v>881</v>
      </c>
      <c r="E232" s="26" t="s">
        <v>21</v>
      </c>
      <c r="F232" s="27">
        <v>3.21</v>
      </c>
      <c r="G232" s="298"/>
      <c r="H232" s="28">
        <f>F232*G232</f>
        <v>0</v>
      </c>
      <c r="J232" s="120"/>
    </row>
    <row r="233" spans="1:10" s="118" customFormat="1" ht="13.8">
      <c r="A233" s="182">
        <v>101</v>
      </c>
      <c r="B233" s="26">
        <v>999</v>
      </c>
      <c r="C233" s="26" t="s">
        <v>172</v>
      </c>
      <c r="D233" s="26" t="s">
        <v>173</v>
      </c>
      <c r="E233" s="26" t="s">
        <v>46</v>
      </c>
      <c r="F233" s="27">
        <v>1</v>
      </c>
      <c r="G233" s="298"/>
      <c r="H233" s="28">
        <f>F233*G233</f>
        <v>0</v>
      </c>
      <c r="J233" s="120"/>
    </row>
    <row r="234" spans="1:10" s="118" customFormat="1" ht="13.8">
      <c r="A234" s="182"/>
      <c r="B234" s="26"/>
      <c r="C234" s="26"/>
      <c r="D234" s="29" t="s">
        <v>81</v>
      </c>
      <c r="E234" s="26"/>
      <c r="F234" s="30">
        <v>1</v>
      </c>
      <c r="G234" s="298"/>
      <c r="H234" s="28"/>
      <c r="J234" s="120"/>
    </row>
    <row r="235" spans="1:8" ht="15">
      <c r="A235" s="182"/>
      <c r="B235" s="15"/>
      <c r="C235" s="15">
        <v>712</v>
      </c>
      <c r="D235" s="15" t="s">
        <v>248</v>
      </c>
      <c r="E235" s="15"/>
      <c r="F235" s="16"/>
      <c r="G235" s="299"/>
      <c r="H235" s="17">
        <f>SUM(H236:H255)</f>
        <v>0</v>
      </c>
    </row>
    <row r="236" spans="1:10" s="123" customFormat="1" ht="13.8">
      <c r="A236" s="182">
        <v>102</v>
      </c>
      <c r="B236" s="26">
        <v>712</v>
      </c>
      <c r="C236" s="26">
        <v>712320932</v>
      </c>
      <c r="D236" s="26" t="s">
        <v>286</v>
      </c>
      <c r="E236" s="26" t="s">
        <v>18</v>
      </c>
      <c r="F236" s="27">
        <f>F237</f>
        <v>123.584</v>
      </c>
      <c r="G236" s="298"/>
      <c r="H236" s="28">
        <f>F236*G236</f>
        <v>0</v>
      </c>
      <c r="J236" s="120"/>
    </row>
    <row r="237" spans="1:10" s="118" customFormat="1" ht="13.8">
      <c r="A237" s="182"/>
      <c r="B237" s="26"/>
      <c r="C237" s="26"/>
      <c r="D237" s="29" t="s">
        <v>287</v>
      </c>
      <c r="E237" s="26"/>
      <c r="F237" s="30">
        <f>F240</f>
        <v>123.584</v>
      </c>
      <c r="G237" s="298"/>
      <c r="H237" s="28"/>
      <c r="J237" s="120"/>
    </row>
    <row r="238" spans="1:10" s="123" customFormat="1" ht="13.8">
      <c r="A238" s="182">
        <v>103</v>
      </c>
      <c r="B238" s="26">
        <v>712</v>
      </c>
      <c r="C238" s="26">
        <v>712340832</v>
      </c>
      <c r="D238" s="26" t="s">
        <v>247</v>
      </c>
      <c r="E238" s="26" t="s">
        <v>18</v>
      </c>
      <c r="F238" s="27">
        <f>F239</f>
        <v>30.4375</v>
      </c>
      <c r="G238" s="298"/>
      <c r="H238" s="28">
        <f>F238*G238</f>
        <v>0</v>
      </c>
      <c r="J238" s="120"/>
    </row>
    <row r="239" spans="1:10" s="118" customFormat="1" ht="21">
      <c r="A239" s="182"/>
      <c r="B239" s="26"/>
      <c r="C239" s="26"/>
      <c r="D239" s="29" t="s">
        <v>710</v>
      </c>
      <c r="E239" s="26"/>
      <c r="F239" s="30">
        <f>22+4.5+5*(0.75*0.75)+2*(0.75*0.75)</f>
        <v>30.4375</v>
      </c>
      <c r="G239" s="298"/>
      <c r="H239" s="28"/>
      <c r="J239" s="120"/>
    </row>
    <row r="240" spans="1:10" s="123" customFormat="1" ht="13.8">
      <c r="A240" s="182">
        <v>104</v>
      </c>
      <c r="B240" s="26">
        <v>712</v>
      </c>
      <c r="C240" s="26">
        <v>712340911</v>
      </c>
      <c r="D240" s="26" t="s">
        <v>288</v>
      </c>
      <c r="E240" s="26" t="s">
        <v>18</v>
      </c>
      <c r="F240" s="27">
        <f>F241</f>
        <v>123.584</v>
      </c>
      <c r="G240" s="298"/>
      <c r="H240" s="28">
        <f>F240*G240</f>
        <v>0</v>
      </c>
      <c r="J240" s="120"/>
    </row>
    <row r="241" spans="1:10" s="118" customFormat="1" ht="21">
      <c r="A241" s="182"/>
      <c r="B241" s="26"/>
      <c r="C241" s="26"/>
      <c r="D241" s="29" t="s">
        <v>816</v>
      </c>
      <c r="E241" s="26"/>
      <c r="F241" s="30">
        <f>0.4*(17.6*15.2+7.4*5.6)</f>
        <v>123.584</v>
      </c>
      <c r="G241" s="298"/>
      <c r="H241" s="28"/>
      <c r="J241" s="120"/>
    </row>
    <row r="242" spans="1:10" s="123" customFormat="1" ht="13.8">
      <c r="A242" s="182">
        <v>105</v>
      </c>
      <c r="B242" s="26">
        <v>712</v>
      </c>
      <c r="C242" s="26">
        <v>712391382</v>
      </c>
      <c r="D242" s="26" t="s">
        <v>827</v>
      </c>
      <c r="E242" s="26" t="s">
        <v>18</v>
      </c>
      <c r="F242" s="27">
        <f>F243</f>
        <v>23.1</v>
      </c>
      <c r="G242" s="298"/>
      <c r="H242" s="28">
        <f>F242*G242</f>
        <v>0</v>
      </c>
      <c r="J242" s="120"/>
    </row>
    <row r="243" spans="1:10" s="118" customFormat="1" ht="13.8">
      <c r="A243" s="182"/>
      <c r="B243" s="26"/>
      <c r="C243" s="26"/>
      <c r="D243" s="29" t="s">
        <v>828</v>
      </c>
      <c r="E243" s="26"/>
      <c r="F243" s="30">
        <v>23.1</v>
      </c>
      <c r="G243" s="298"/>
      <c r="H243" s="28"/>
      <c r="J243" s="120"/>
    </row>
    <row r="244" spans="1:10" s="167" customFormat="1" ht="15">
      <c r="A244" s="184">
        <v>106</v>
      </c>
      <c r="B244" s="164">
        <v>583</v>
      </c>
      <c r="C244" s="164" t="s">
        <v>830</v>
      </c>
      <c r="D244" s="164" t="s">
        <v>829</v>
      </c>
      <c r="E244" s="164" t="s">
        <v>130</v>
      </c>
      <c r="F244" s="165">
        <f>(F242*0.05)*2</f>
        <v>2.31</v>
      </c>
      <c r="G244" s="300"/>
      <c r="H244" s="166">
        <f>F244*G244</f>
        <v>0</v>
      </c>
      <c r="J244" s="168"/>
    </row>
    <row r="245" spans="1:10" s="123" customFormat="1" ht="13.8">
      <c r="A245" s="182">
        <v>107</v>
      </c>
      <c r="B245" s="26">
        <v>712</v>
      </c>
      <c r="C245" s="26">
        <v>712771001</v>
      </c>
      <c r="D245" s="26" t="s">
        <v>293</v>
      </c>
      <c r="E245" s="26" t="s">
        <v>18</v>
      </c>
      <c r="F245" s="27">
        <f>SUM(F246:F249)</f>
        <v>1250.6</v>
      </c>
      <c r="G245" s="298"/>
      <c r="H245" s="28">
        <f>F245*G245</f>
        <v>0</v>
      </c>
      <c r="J245" s="120"/>
    </row>
    <row r="246" spans="1:10" s="118" customFormat="1" ht="34.05" customHeight="1">
      <c r="A246" s="182"/>
      <c r="B246" s="26"/>
      <c r="C246" s="26"/>
      <c r="D246" s="29" t="s">
        <v>820</v>
      </c>
      <c r="E246" s="26"/>
      <c r="F246" s="30">
        <f>2*(17.6*15.2+7.4*5.6+1.2*(16.6+16.6+28+13.5+7))</f>
        <v>814</v>
      </c>
      <c r="G246" s="298"/>
      <c r="H246" s="28"/>
      <c r="J246" s="120"/>
    </row>
    <row r="247" spans="1:10" s="118" customFormat="1" ht="21">
      <c r="A247" s="182"/>
      <c r="B247" s="26"/>
      <c r="C247" s="26"/>
      <c r="D247" s="29" t="s">
        <v>822</v>
      </c>
      <c r="E247" s="26"/>
      <c r="F247" s="30">
        <f>17.6*15.2+7.4*5.6+1.2*(16.6+16.6+28+13.5+7)</f>
        <v>407</v>
      </c>
      <c r="G247" s="298"/>
      <c r="H247" s="28"/>
      <c r="J247" s="120"/>
    </row>
    <row r="248" spans="1:10" s="118" customFormat="1" ht="21">
      <c r="A248" s="182"/>
      <c r="B248" s="26"/>
      <c r="C248" s="26"/>
      <c r="D248" s="29" t="s">
        <v>821</v>
      </c>
      <c r="E248" s="26"/>
      <c r="F248" s="30">
        <f>14.8*1</f>
        <v>14.8</v>
      </c>
      <c r="G248" s="298"/>
      <c r="H248" s="28"/>
      <c r="J248" s="120"/>
    </row>
    <row r="249" spans="1:10" s="118" customFormat="1" ht="21">
      <c r="A249" s="182"/>
      <c r="B249" s="26"/>
      <c r="C249" s="26"/>
      <c r="D249" s="29" t="s">
        <v>823</v>
      </c>
      <c r="E249" s="26"/>
      <c r="F249" s="30">
        <f>14.8*1</f>
        <v>14.8</v>
      </c>
      <c r="G249" s="298"/>
      <c r="H249" s="28"/>
      <c r="J249" s="120"/>
    </row>
    <row r="250" spans="1:10" s="167" customFormat="1" ht="15">
      <c r="A250" s="184">
        <v>108</v>
      </c>
      <c r="B250" s="164">
        <v>693</v>
      </c>
      <c r="C250" s="164" t="s">
        <v>300</v>
      </c>
      <c r="D250" s="164" t="s">
        <v>301</v>
      </c>
      <c r="E250" s="164" t="s">
        <v>18</v>
      </c>
      <c r="F250" s="165">
        <f>1.15*F248</f>
        <v>17.02</v>
      </c>
      <c r="G250" s="300"/>
      <c r="H250" s="166">
        <f>F250*G250</f>
        <v>0</v>
      </c>
      <c r="J250" s="168"/>
    </row>
    <row r="251" spans="1:10" s="167" customFormat="1" ht="15">
      <c r="A251" s="184">
        <v>109</v>
      </c>
      <c r="B251" s="164">
        <v>693</v>
      </c>
      <c r="C251" s="164" t="s">
        <v>291</v>
      </c>
      <c r="D251" s="164" t="s">
        <v>292</v>
      </c>
      <c r="E251" s="164" t="s">
        <v>18</v>
      </c>
      <c r="F251" s="165">
        <f>1.15*F246</f>
        <v>936.0999999999999</v>
      </c>
      <c r="G251" s="300"/>
      <c r="H251" s="166">
        <f>F251*G251</f>
        <v>0</v>
      </c>
      <c r="J251" s="168"/>
    </row>
    <row r="252" spans="1:10" s="167" customFormat="1" ht="21.6">
      <c r="A252" s="184">
        <v>110</v>
      </c>
      <c r="B252" s="164">
        <v>283</v>
      </c>
      <c r="C252" s="164">
        <v>28343014</v>
      </c>
      <c r="D252" s="164" t="s">
        <v>294</v>
      </c>
      <c r="E252" s="164" t="s">
        <v>18</v>
      </c>
      <c r="F252" s="165">
        <f>1.15*(F247+F249)</f>
        <v>485.07</v>
      </c>
      <c r="G252" s="300"/>
      <c r="H252" s="166">
        <f>F252*G252</f>
        <v>0</v>
      </c>
      <c r="J252" s="168"/>
    </row>
    <row r="253" spans="1:10" s="118" customFormat="1" ht="13.8">
      <c r="A253" s="182">
        <v>111</v>
      </c>
      <c r="B253" s="26">
        <v>998</v>
      </c>
      <c r="C253" s="26">
        <v>998712202</v>
      </c>
      <c r="D253" s="26" t="s">
        <v>880</v>
      </c>
      <c r="E253" s="26" t="s">
        <v>21</v>
      </c>
      <c r="F253" s="27">
        <v>3.15</v>
      </c>
      <c r="G253" s="298"/>
      <c r="H253" s="28">
        <f>F253*G253</f>
        <v>0</v>
      </c>
      <c r="J253" s="120"/>
    </row>
    <row r="254" spans="1:10" s="118" customFormat="1" ht="13.8">
      <c r="A254" s="182">
        <v>112</v>
      </c>
      <c r="B254" s="26">
        <v>999</v>
      </c>
      <c r="C254" s="26" t="s">
        <v>343</v>
      </c>
      <c r="D254" s="26" t="s">
        <v>344</v>
      </c>
      <c r="E254" s="26" t="s">
        <v>46</v>
      </c>
      <c r="F254" s="27">
        <v>1</v>
      </c>
      <c r="G254" s="298"/>
      <c r="H254" s="28">
        <f>F254*G254</f>
        <v>0</v>
      </c>
      <c r="J254" s="120"/>
    </row>
    <row r="255" spans="1:10" s="118" customFormat="1" ht="13.8">
      <c r="A255" s="182"/>
      <c r="B255" s="26"/>
      <c r="C255" s="26"/>
      <c r="D255" s="29" t="s">
        <v>81</v>
      </c>
      <c r="E255" s="26"/>
      <c r="F255" s="30">
        <v>1</v>
      </c>
      <c r="G255" s="298"/>
      <c r="H255" s="28"/>
      <c r="J255" s="120"/>
    </row>
    <row r="256" spans="1:8" ht="15">
      <c r="A256" s="182"/>
      <c r="B256" s="15"/>
      <c r="C256" s="15">
        <v>713</v>
      </c>
      <c r="D256" s="15" t="s">
        <v>78</v>
      </c>
      <c r="E256" s="15"/>
      <c r="F256" s="16"/>
      <c r="G256" s="299"/>
      <c r="H256" s="17">
        <f>SUM(H257:H307)</f>
        <v>0</v>
      </c>
    </row>
    <row r="257" spans="1:10" s="123" customFormat="1" ht="13.8">
      <c r="A257" s="182">
        <v>113</v>
      </c>
      <c r="B257" s="26">
        <v>713</v>
      </c>
      <c r="C257" s="26">
        <v>713110811</v>
      </c>
      <c r="D257" s="26" t="s">
        <v>249</v>
      </c>
      <c r="E257" s="26" t="s">
        <v>18</v>
      </c>
      <c r="F257" s="27">
        <f>F258</f>
        <v>30.4375</v>
      </c>
      <c r="G257" s="298"/>
      <c r="H257" s="28">
        <f>F257*G257</f>
        <v>0</v>
      </c>
      <c r="J257" s="120"/>
    </row>
    <row r="258" spans="1:10" s="118" customFormat="1" ht="21">
      <c r="A258" s="182"/>
      <c r="B258" s="26"/>
      <c r="C258" s="26"/>
      <c r="D258" s="29" t="s">
        <v>709</v>
      </c>
      <c r="E258" s="26"/>
      <c r="F258" s="30">
        <f>22+4.5+5*(0.75*0.75)+2*(0.75*0.75)</f>
        <v>30.4375</v>
      </c>
      <c r="G258" s="298"/>
      <c r="H258" s="28"/>
      <c r="J258" s="120"/>
    </row>
    <row r="259" spans="1:10" s="123" customFormat="1" ht="13.8">
      <c r="A259" s="182">
        <v>114</v>
      </c>
      <c r="B259" s="26">
        <v>713</v>
      </c>
      <c r="C259" s="26">
        <v>713130841</v>
      </c>
      <c r="D259" s="26" t="s">
        <v>670</v>
      </c>
      <c r="E259" s="26" t="s">
        <v>18</v>
      </c>
      <c r="F259" s="27">
        <f>F260</f>
        <v>90.96</v>
      </c>
      <c r="G259" s="298"/>
      <c r="H259" s="28">
        <f>F259*G259</f>
        <v>0</v>
      </c>
      <c r="J259" s="120"/>
    </row>
    <row r="260" spans="1:10" s="118" customFormat="1" ht="21">
      <c r="A260" s="182"/>
      <c r="B260" s="26"/>
      <c r="C260" s="26"/>
      <c r="D260" s="29" t="s">
        <v>671</v>
      </c>
      <c r="E260" s="26"/>
      <c r="F260" s="30">
        <f>3*(6.12+0.7+4.9+4.8+6.6+0.7+0.7+2+0.6+0.7+2.5)</f>
        <v>90.96</v>
      </c>
      <c r="G260" s="298"/>
      <c r="H260" s="28"/>
      <c r="J260" s="120"/>
    </row>
    <row r="261" spans="1:10" s="123" customFormat="1" ht="13.8">
      <c r="A261" s="182">
        <v>115</v>
      </c>
      <c r="B261" s="26">
        <v>713</v>
      </c>
      <c r="C261" s="26">
        <v>713131141</v>
      </c>
      <c r="D261" s="26" t="s">
        <v>342</v>
      </c>
      <c r="E261" s="26" t="s">
        <v>18</v>
      </c>
      <c r="F261" s="27">
        <f>SUM(F262:F263)</f>
        <v>11.7</v>
      </c>
      <c r="G261" s="298"/>
      <c r="H261" s="28">
        <f>F261*G261</f>
        <v>0</v>
      </c>
      <c r="J261" s="120"/>
    </row>
    <row r="262" spans="1:10" s="118" customFormat="1" ht="21">
      <c r="A262" s="182"/>
      <c r="B262" s="26"/>
      <c r="C262" s="26"/>
      <c r="D262" s="29" t="s">
        <v>836</v>
      </c>
      <c r="E262" s="26"/>
      <c r="F262" s="30">
        <f>0.25*(4*3.6+4*3+2*2.1+2*2.4+2*1.2)</f>
        <v>9.45</v>
      </c>
      <c r="G262" s="298"/>
      <c r="H262" s="28"/>
      <c r="J262" s="120"/>
    </row>
    <row r="263" spans="1:10" s="118" customFormat="1" ht="21">
      <c r="A263" s="182"/>
      <c r="B263" s="26"/>
      <c r="C263" s="26"/>
      <c r="D263" s="29" t="s">
        <v>846</v>
      </c>
      <c r="E263" s="26"/>
      <c r="F263" s="30">
        <f>0.5*4.5</f>
        <v>2.25</v>
      </c>
      <c r="G263" s="298"/>
      <c r="H263" s="28"/>
      <c r="J263" s="120"/>
    </row>
    <row r="264" spans="1:10" s="167" customFormat="1" ht="15">
      <c r="A264" s="184">
        <v>116</v>
      </c>
      <c r="B264" s="164">
        <v>283</v>
      </c>
      <c r="C264" s="164">
        <v>28376414</v>
      </c>
      <c r="D264" s="164" t="s">
        <v>837</v>
      </c>
      <c r="E264" s="164" t="s">
        <v>18</v>
      </c>
      <c r="F264" s="165">
        <f>1.1*F262</f>
        <v>10.395</v>
      </c>
      <c r="G264" s="300"/>
      <c r="H264" s="166">
        <f>F264*G264</f>
        <v>0</v>
      </c>
      <c r="J264" s="168"/>
    </row>
    <row r="265" spans="1:10" s="167" customFormat="1" ht="15">
      <c r="A265" s="184">
        <v>117</v>
      </c>
      <c r="B265" s="164">
        <v>283</v>
      </c>
      <c r="C265" s="164">
        <v>28376451</v>
      </c>
      <c r="D265" s="164" t="s">
        <v>845</v>
      </c>
      <c r="E265" s="164" t="s">
        <v>18</v>
      </c>
      <c r="F265" s="165">
        <f>1.1*F263</f>
        <v>2.475</v>
      </c>
      <c r="G265" s="300"/>
      <c r="H265" s="166">
        <f>F265*G265</f>
        <v>0</v>
      </c>
      <c r="J265" s="168"/>
    </row>
    <row r="266" spans="1:10" s="118" customFormat="1" ht="13.8">
      <c r="A266" s="182">
        <v>118</v>
      </c>
      <c r="B266" s="26">
        <v>713</v>
      </c>
      <c r="C266" s="26">
        <v>713141111</v>
      </c>
      <c r="D266" s="26" t="s">
        <v>289</v>
      </c>
      <c r="E266" s="26" t="s">
        <v>18</v>
      </c>
      <c r="F266" s="27">
        <f>SUM(F267:F271)</f>
        <v>419.67999999999995</v>
      </c>
      <c r="G266" s="298"/>
      <c r="H266" s="28">
        <f>F266*G266</f>
        <v>0</v>
      </c>
      <c r="J266" s="120"/>
    </row>
    <row r="267" spans="1:10" s="118" customFormat="1" ht="24" customHeight="1">
      <c r="A267" s="182"/>
      <c r="B267" s="26"/>
      <c r="C267" s="26"/>
      <c r="D267" s="29" t="s">
        <v>817</v>
      </c>
      <c r="E267" s="26"/>
      <c r="F267" s="30">
        <f>17.2*14.8+7*5.2</f>
        <v>290.96</v>
      </c>
      <c r="G267" s="298"/>
      <c r="H267" s="28"/>
      <c r="J267" s="120"/>
    </row>
    <row r="268" spans="1:10" s="118" customFormat="1" ht="21">
      <c r="A268" s="182"/>
      <c r="B268" s="26"/>
      <c r="C268" s="26"/>
      <c r="D268" s="29" t="s">
        <v>818</v>
      </c>
      <c r="E268" s="26"/>
      <c r="F268" s="30">
        <f>0.6*(16.6+16.6+14+14+13.5+6.7)</f>
        <v>48.84</v>
      </c>
      <c r="G268" s="298"/>
      <c r="H268" s="28"/>
      <c r="J268" s="120"/>
    </row>
    <row r="269" spans="1:10" s="118" customFormat="1" ht="21">
      <c r="A269" s="182"/>
      <c r="B269" s="26"/>
      <c r="C269" s="26"/>
      <c r="D269" s="29" t="s">
        <v>819</v>
      </c>
      <c r="E269" s="26"/>
      <c r="F269" s="30">
        <f>0.6*(34+28.8+14+7)</f>
        <v>50.279999999999994</v>
      </c>
      <c r="G269" s="298"/>
      <c r="H269" s="28"/>
      <c r="J269" s="120"/>
    </row>
    <row r="270" spans="1:10" s="118" customFormat="1" ht="21">
      <c r="A270" s="182"/>
      <c r="B270" s="26"/>
      <c r="C270" s="26"/>
      <c r="D270" s="29" t="s">
        <v>824</v>
      </c>
      <c r="E270" s="26"/>
      <c r="F270" s="30">
        <f>14.8*1</f>
        <v>14.8</v>
      </c>
      <c r="G270" s="298"/>
      <c r="H270" s="28"/>
      <c r="J270" s="120"/>
    </row>
    <row r="271" spans="1:10" s="118" customFormat="1" ht="13.8">
      <c r="A271" s="182"/>
      <c r="B271" s="26"/>
      <c r="C271" s="26"/>
      <c r="D271" s="29" t="s">
        <v>825</v>
      </c>
      <c r="E271" s="26"/>
      <c r="F271" s="30">
        <f>14.8*1</f>
        <v>14.8</v>
      </c>
      <c r="G271" s="298"/>
      <c r="H271" s="28"/>
      <c r="J271" s="120"/>
    </row>
    <row r="272" spans="1:10" s="167" customFormat="1" ht="15">
      <c r="A272" s="184">
        <v>119</v>
      </c>
      <c r="B272" s="164">
        <v>283</v>
      </c>
      <c r="C272" s="164">
        <v>28375992</v>
      </c>
      <c r="D272" s="164" t="s">
        <v>290</v>
      </c>
      <c r="E272" s="164" t="s">
        <v>18</v>
      </c>
      <c r="F272" s="165">
        <f>1.1*(F267+F270)</f>
        <v>336.336</v>
      </c>
      <c r="G272" s="300"/>
      <c r="H272" s="166">
        <f>F272*G272</f>
        <v>0</v>
      </c>
      <c r="J272" s="168"/>
    </row>
    <row r="273" spans="1:10" s="167" customFormat="1" ht="15">
      <c r="A273" s="184">
        <v>120</v>
      </c>
      <c r="B273" s="164">
        <v>283</v>
      </c>
      <c r="C273" s="164">
        <v>28376416</v>
      </c>
      <c r="D273" s="164" t="s">
        <v>297</v>
      </c>
      <c r="E273" s="164" t="s">
        <v>18</v>
      </c>
      <c r="F273" s="165">
        <f>1.1*F269</f>
        <v>55.308</v>
      </c>
      <c r="G273" s="300"/>
      <c r="H273" s="166">
        <f>F273*G273</f>
        <v>0</v>
      </c>
      <c r="J273" s="168"/>
    </row>
    <row r="274" spans="1:10" s="167" customFormat="1" ht="15">
      <c r="A274" s="184">
        <v>121</v>
      </c>
      <c r="B274" s="164">
        <v>283</v>
      </c>
      <c r="C274" s="164">
        <v>28376422</v>
      </c>
      <c r="D274" s="164" t="s">
        <v>298</v>
      </c>
      <c r="E274" s="164" t="s">
        <v>18</v>
      </c>
      <c r="F274" s="165">
        <f>1.1*F268</f>
        <v>53.72400000000001</v>
      </c>
      <c r="G274" s="300"/>
      <c r="H274" s="166">
        <f>F274*G274</f>
        <v>0</v>
      </c>
      <c r="J274" s="168"/>
    </row>
    <row r="275" spans="1:10" s="167" customFormat="1" ht="15">
      <c r="A275" s="184">
        <v>122</v>
      </c>
      <c r="B275" s="164">
        <v>283</v>
      </c>
      <c r="C275" s="164">
        <v>28376452</v>
      </c>
      <c r="D275" s="164" t="s">
        <v>826</v>
      </c>
      <c r="E275" s="164" t="s">
        <v>18</v>
      </c>
      <c r="F275" s="165">
        <f>1.1*F271</f>
        <v>16.28</v>
      </c>
      <c r="G275" s="300"/>
      <c r="H275" s="166">
        <f>F275*G275</f>
        <v>0</v>
      </c>
      <c r="J275" s="168"/>
    </row>
    <row r="276" spans="1:10" s="118" customFormat="1" ht="21">
      <c r="A276" s="182">
        <v>123</v>
      </c>
      <c r="B276" s="26">
        <v>713</v>
      </c>
      <c r="C276" s="26" t="s">
        <v>79</v>
      </c>
      <c r="D276" s="26" t="s">
        <v>309</v>
      </c>
      <c r="E276" s="26" t="s">
        <v>18</v>
      </c>
      <c r="F276" s="27">
        <f>F285</f>
        <v>622.5120000000001</v>
      </c>
      <c r="G276" s="298"/>
      <c r="H276" s="28">
        <f>F276*G276</f>
        <v>0</v>
      </c>
      <c r="J276" s="120"/>
    </row>
    <row r="277" spans="1:10" s="118" customFormat="1" ht="13.8">
      <c r="A277" s="182"/>
      <c r="B277" s="26"/>
      <c r="C277" s="26"/>
      <c r="D277" s="29" t="s">
        <v>80</v>
      </c>
      <c r="E277" s="26"/>
      <c r="F277" s="30"/>
      <c r="G277" s="298"/>
      <c r="H277" s="28"/>
      <c r="J277" s="120"/>
    </row>
    <row r="278" spans="1:10" s="118" customFormat="1" ht="21">
      <c r="A278" s="182"/>
      <c r="B278" s="26"/>
      <c r="C278" s="26"/>
      <c r="D278" s="29" t="s">
        <v>303</v>
      </c>
      <c r="E278" s="26"/>
      <c r="F278" s="30"/>
      <c r="G278" s="298"/>
      <c r="H278" s="28"/>
      <c r="J278" s="120"/>
    </row>
    <row r="279" spans="1:10" s="118" customFormat="1" ht="21">
      <c r="A279" s="182"/>
      <c r="B279" s="26"/>
      <c r="C279" s="26"/>
      <c r="D279" s="29" t="s">
        <v>304</v>
      </c>
      <c r="E279" s="26"/>
      <c r="F279" s="30"/>
      <c r="G279" s="298"/>
      <c r="H279" s="28"/>
      <c r="J279" s="120"/>
    </row>
    <row r="280" spans="1:10" s="118" customFormat="1" ht="21">
      <c r="A280" s="182"/>
      <c r="B280" s="26"/>
      <c r="C280" s="26"/>
      <c r="D280" s="29" t="s">
        <v>305</v>
      </c>
      <c r="E280" s="26"/>
      <c r="F280" s="30"/>
      <c r="G280" s="298"/>
      <c r="H280" s="28"/>
      <c r="J280" s="120"/>
    </row>
    <row r="281" spans="1:10" s="118" customFormat="1" ht="13.8">
      <c r="A281" s="182"/>
      <c r="B281" s="26"/>
      <c r="C281" s="26"/>
      <c r="D281" s="29" t="s">
        <v>306</v>
      </c>
      <c r="E281" s="26"/>
      <c r="F281" s="30"/>
      <c r="G281" s="298"/>
      <c r="H281" s="28"/>
      <c r="J281" s="120"/>
    </row>
    <row r="282" spans="1:10" s="118" customFormat="1" ht="21">
      <c r="A282" s="182"/>
      <c r="B282" s="26"/>
      <c r="C282" s="26"/>
      <c r="D282" s="29" t="s">
        <v>305</v>
      </c>
      <c r="E282" s="26"/>
      <c r="F282" s="30"/>
      <c r="G282" s="298"/>
      <c r="H282" s="28"/>
      <c r="J282" s="120"/>
    </row>
    <row r="283" spans="1:10" s="118" customFormat="1" ht="21">
      <c r="A283" s="182"/>
      <c r="B283" s="26"/>
      <c r="C283" s="26"/>
      <c r="D283" s="29" t="s">
        <v>307</v>
      </c>
      <c r="E283" s="26"/>
      <c r="F283" s="30"/>
      <c r="G283" s="298"/>
      <c r="H283" s="28"/>
      <c r="J283" s="120"/>
    </row>
    <row r="284" spans="1:10" s="118" customFormat="1" ht="13.8">
      <c r="A284" s="182"/>
      <c r="B284" s="26"/>
      <c r="C284" s="26"/>
      <c r="D284" s="29" t="s">
        <v>308</v>
      </c>
      <c r="E284" s="26"/>
      <c r="F284" s="30"/>
      <c r="G284" s="298"/>
      <c r="H284" s="28"/>
      <c r="J284" s="120"/>
    </row>
    <row r="285" spans="1:10" s="118" customFormat="1" ht="31.2">
      <c r="A285" s="182"/>
      <c r="B285" s="26"/>
      <c r="C285" s="26"/>
      <c r="D285" s="29" t="s">
        <v>838</v>
      </c>
      <c r="E285" s="26"/>
      <c r="F285" s="30">
        <f>1.1*(7.2*(17.3+17.3+22+22))</f>
        <v>622.5120000000001</v>
      </c>
      <c r="G285" s="298"/>
      <c r="H285" s="28"/>
      <c r="J285" s="120"/>
    </row>
    <row r="286" spans="1:10" s="118" customFormat="1" ht="21">
      <c r="A286" s="182">
        <v>124</v>
      </c>
      <c r="B286" s="26">
        <v>713</v>
      </c>
      <c r="C286" s="26" t="s">
        <v>106</v>
      </c>
      <c r="D286" s="26" t="s">
        <v>310</v>
      </c>
      <c r="E286" s="26" t="s">
        <v>18</v>
      </c>
      <c r="F286" s="27">
        <f>F297</f>
        <v>34.584</v>
      </c>
      <c r="G286" s="298"/>
      <c r="H286" s="28">
        <f>F286*G286</f>
        <v>0</v>
      </c>
      <c r="J286" s="120"/>
    </row>
    <row r="287" spans="1:10" s="118" customFormat="1" ht="13.8">
      <c r="A287" s="182"/>
      <c r="B287" s="26"/>
      <c r="C287" s="26"/>
      <c r="D287" s="29" t="s">
        <v>80</v>
      </c>
      <c r="E287" s="26"/>
      <c r="F287" s="30"/>
      <c r="G287" s="298"/>
      <c r="H287" s="28"/>
      <c r="J287" s="120"/>
    </row>
    <row r="288" spans="1:10" s="118" customFormat="1" ht="21">
      <c r="A288" s="182"/>
      <c r="B288" s="26"/>
      <c r="C288" s="26"/>
      <c r="D288" s="29" t="s">
        <v>313</v>
      </c>
      <c r="E288" s="26"/>
      <c r="F288" s="30"/>
      <c r="G288" s="298"/>
      <c r="H288" s="28"/>
      <c r="J288" s="120"/>
    </row>
    <row r="289" spans="1:10" s="118" customFormat="1" ht="24" customHeight="1">
      <c r="A289" s="182"/>
      <c r="B289" s="26"/>
      <c r="C289" s="26"/>
      <c r="D289" s="29" t="s">
        <v>314</v>
      </c>
      <c r="E289" s="26"/>
      <c r="F289" s="30"/>
      <c r="G289" s="298"/>
      <c r="H289" s="28"/>
      <c r="J289" s="120"/>
    </row>
    <row r="290" spans="1:10" s="118" customFormat="1" ht="13.8">
      <c r="A290" s="182"/>
      <c r="B290" s="26"/>
      <c r="C290" s="26"/>
      <c r="D290" s="29" t="s">
        <v>315</v>
      </c>
      <c r="E290" s="26"/>
      <c r="F290" s="30"/>
      <c r="G290" s="298"/>
      <c r="H290" s="28"/>
      <c r="J290" s="120"/>
    </row>
    <row r="291" spans="1:10" s="118" customFormat="1" ht="13.8">
      <c r="A291" s="182"/>
      <c r="B291" s="26"/>
      <c r="C291" s="26"/>
      <c r="D291" s="29" t="s">
        <v>316</v>
      </c>
      <c r="E291" s="26"/>
      <c r="F291" s="30"/>
      <c r="G291" s="298"/>
      <c r="H291" s="28"/>
      <c r="J291" s="120"/>
    </row>
    <row r="292" spans="1:10" s="118" customFormat="1" ht="13.8">
      <c r="A292" s="182"/>
      <c r="B292" s="26"/>
      <c r="C292" s="26"/>
      <c r="D292" s="29" t="s">
        <v>317</v>
      </c>
      <c r="E292" s="26"/>
      <c r="F292" s="30"/>
      <c r="G292" s="298"/>
      <c r="H292" s="28"/>
      <c r="J292" s="120"/>
    </row>
    <row r="293" spans="1:10" s="118" customFormat="1" ht="13.8">
      <c r="A293" s="182"/>
      <c r="B293" s="26"/>
      <c r="C293" s="26"/>
      <c r="D293" s="29" t="s">
        <v>316</v>
      </c>
      <c r="E293" s="26"/>
      <c r="F293" s="30"/>
      <c r="G293" s="298"/>
      <c r="H293" s="28"/>
      <c r="J293" s="120"/>
    </row>
    <row r="294" spans="1:10" s="118" customFormat="1" ht="13.8">
      <c r="A294" s="182"/>
      <c r="B294" s="26"/>
      <c r="C294" s="26"/>
      <c r="D294" s="29" t="s">
        <v>318</v>
      </c>
      <c r="E294" s="26"/>
      <c r="F294" s="30"/>
      <c r="G294" s="298"/>
      <c r="H294" s="28"/>
      <c r="J294" s="120"/>
    </row>
    <row r="295" spans="1:10" s="118" customFormat="1" ht="13.8">
      <c r="A295" s="182"/>
      <c r="B295" s="26"/>
      <c r="C295" s="26"/>
      <c r="D295" s="29" t="s">
        <v>319</v>
      </c>
      <c r="E295" s="26"/>
      <c r="F295" s="30"/>
      <c r="G295" s="298"/>
      <c r="H295" s="28"/>
      <c r="J295" s="120"/>
    </row>
    <row r="296" spans="1:10" s="118" customFormat="1" ht="21">
      <c r="A296" s="182"/>
      <c r="B296" s="26"/>
      <c r="C296" s="26"/>
      <c r="D296" s="29" t="s">
        <v>320</v>
      </c>
      <c r="E296" s="26"/>
      <c r="F296" s="30"/>
      <c r="G296" s="298"/>
      <c r="H296" s="28"/>
      <c r="J296" s="120"/>
    </row>
    <row r="297" spans="1:10" s="118" customFormat="1" ht="31.2">
      <c r="A297" s="182"/>
      <c r="B297" s="26"/>
      <c r="C297" s="26"/>
      <c r="D297" s="29" t="s">
        <v>839</v>
      </c>
      <c r="E297" s="26"/>
      <c r="F297" s="30">
        <f>1.1*(0.4*(17.3+17.3+22+22))</f>
        <v>34.584</v>
      </c>
      <c r="G297" s="298"/>
      <c r="H297" s="28"/>
      <c r="J297" s="120"/>
    </row>
    <row r="298" spans="1:10" s="118" customFormat="1" ht="21">
      <c r="A298" s="182">
        <v>125</v>
      </c>
      <c r="B298" s="26">
        <v>713</v>
      </c>
      <c r="C298" s="26" t="s">
        <v>302</v>
      </c>
      <c r="D298" s="26" t="s">
        <v>311</v>
      </c>
      <c r="E298" s="26" t="s">
        <v>18</v>
      </c>
      <c r="F298" s="27">
        <f>F304</f>
        <v>37.1778</v>
      </c>
      <c r="G298" s="298"/>
      <c r="H298" s="28">
        <f>F298*G298</f>
        <v>0</v>
      </c>
      <c r="J298" s="120"/>
    </row>
    <row r="299" spans="1:10" s="118" customFormat="1" ht="13.8">
      <c r="A299" s="182"/>
      <c r="B299" s="26"/>
      <c r="C299" s="26"/>
      <c r="D299" s="29" t="s">
        <v>80</v>
      </c>
      <c r="E299" s="26"/>
      <c r="F299" s="30"/>
      <c r="G299" s="298"/>
      <c r="H299" s="28"/>
      <c r="J299" s="120"/>
    </row>
    <row r="300" spans="1:10" s="118" customFormat="1" ht="13.8">
      <c r="A300" s="182"/>
      <c r="B300" s="26"/>
      <c r="C300" s="26"/>
      <c r="D300" s="29" t="s">
        <v>322</v>
      </c>
      <c r="E300" s="26"/>
      <c r="F300" s="30"/>
      <c r="G300" s="298"/>
      <c r="H300" s="28"/>
      <c r="J300" s="120"/>
    </row>
    <row r="301" spans="1:10" s="118" customFormat="1" ht="13.8">
      <c r="A301" s="182"/>
      <c r="B301" s="26"/>
      <c r="C301" s="26"/>
      <c r="D301" s="29" t="s">
        <v>323</v>
      </c>
      <c r="E301" s="26"/>
      <c r="F301" s="30"/>
      <c r="G301" s="298"/>
      <c r="H301" s="28"/>
      <c r="J301" s="120"/>
    </row>
    <row r="302" spans="1:10" s="118" customFormat="1" ht="13.8">
      <c r="A302" s="182"/>
      <c r="B302" s="26"/>
      <c r="C302" s="26"/>
      <c r="D302" s="29" t="s">
        <v>318</v>
      </c>
      <c r="E302" s="26"/>
      <c r="F302" s="30"/>
      <c r="G302" s="298"/>
      <c r="H302" s="28"/>
      <c r="J302" s="120"/>
    </row>
    <row r="303" spans="1:10" s="118" customFormat="1" ht="13.8">
      <c r="A303" s="182"/>
      <c r="B303" s="26"/>
      <c r="C303" s="26"/>
      <c r="D303" s="29" t="s">
        <v>319</v>
      </c>
      <c r="E303" s="26"/>
      <c r="F303" s="30"/>
      <c r="G303" s="298"/>
      <c r="H303" s="28"/>
      <c r="J303" s="120"/>
    </row>
    <row r="304" spans="1:10" s="118" customFormat="1" ht="31.2">
      <c r="A304" s="182"/>
      <c r="B304" s="26"/>
      <c r="C304" s="26"/>
      <c r="D304" s="29" t="s">
        <v>840</v>
      </c>
      <c r="E304" s="26"/>
      <c r="F304" s="30">
        <f>1.1*(0.43*(17.3+17.3+22+22))</f>
        <v>37.1778</v>
      </c>
      <c r="G304" s="298"/>
      <c r="H304" s="28"/>
      <c r="J304" s="120"/>
    </row>
    <row r="305" spans="1:10" s="118" customFormat="1" ht="13.8">
      <c r="A305" s="182">
        <v>126</v>
      </c>
      <c r="B305" s="26">
        <v>998</v>
      </c>
      <c r="C305" s="26">
        <v>998713202</v>
      </c>
      <c r="D305" s="26" t="s">
        <v>879</v>
      </c>
      <c r="E305" s="26" t="s">
        <v>21</v>
      </c>
      <c r="F305" s="27">
        <v>1.95</v>
      </c>
      <c r="G305" s="298"/>
      <c r="H305" s="28">
        <f>F305*G305</f>
        <v>0</v>
      </c>
      <c r="J305" s="120"/>
    </row>
    <row r="306" spans="1:10" s="118" customFormat="1" ht="13.8">
      <c r="A306" s="182">
        <v>127</v>
      </c>
      <c r="B306" s="26">
        <v>999</v>
      </c>
      <c r="C306" s="26" t="s">
        <v>82</v>
      </c>
      <c r="D306" s="26" t="s">
        <v>83</v>
      </c>
      <c r="E306" s="26" t="s">
        <v>46</v>
      </c>
      <c r="F306" s="27">
        <v>1</v>
      </c>
      <c r="G306" s="298"/>
      <c r="H306" s="28">
        <f>F306*G306</f>
        <v>0</v>
      </c>
      <c r="J306" s="120"/>
    </row>
    <row r="307" spans="1:10" s="118" customFormat="1" ht="13.8">
      <c r="A307" s="182"/>
      <c r="B307" s="26"/>
      <c r="C307" s="26"/>
      <c r="D307" s="29" t="s">
        <v>81</v>
      </c>
      <c r="E307" s="26"/>
      <c r="F307" s="30">
        <v>1</v>
      </c>
      <c r="G307" s="298"/>
      <c r="H307" s="28"/>
      <c r="J307" s="120"/>
    </row>
    <row r="308" spans="1:8" ht="15">
      <c r="A308" s="183"/>
      <c r="B308" s="15"/>
      <c r="C308" s="15">
        <v>714</v>
      </c>
      <c r="D308" s="15" t="s">
        <v>280</v>
      </c>
      <c r="E308" s="15"/>
      <c r="F308" s="16"/>
      <c r="G308" s="299"/>
      <c r="H308" s="17">
        <f>SUM(H309:H317)</f>
        <v>0</v>
      </c>
    </row>
    <row r="309" spans="1:10" s="118" customFormat="1" ht="41.4">
      <c r="A309" s="182">
        <v>128</v>
      </c>
      <c r="B309" s="26">
        <v>714</v>
      </c>
      <c r="C309" s="26" t="s">
        <v>750</v>
      </c>
      <c r="D309" s="26" t="s">
        <v>744</v>
      </c>
      <c r="E309" s="26" t="s">
        <v>18</v>
      </c>
      <c r="F309" s="27">
        <f>88*2</f>
        <v>176</v>
      </c>
      <c r="G309" s="298"/>
      <c r="H309" s="28">
        <f>F309*G309</f>
        <v>0</v>
      </c>
      <c r="J309" s="120"/>
    </row>
    <row r="310" spans="1:10" s="118" customFormat="1" ht="13.8">
      <c r="A310" s="182">
        <v>129</v>
      </c>
      <c r="B310" s="26">
        <v>714</v>
      </c>
      <c r="C310" s="26" t="s">
        <v>751</v>
      </c>
      <c r="D310" s="26" t="s">
        <v>745</v>
      </c>
      <c r="E310" s="26" t="s">
        <v>18</v>
      </c>
      <c r="F310" s="27">
        <f>(5.6+5.6+13.4+13.4)*0.6*2</f>
        <v>45.6</v>
      </c>
      <c r="G310" s="298"/>
      <c r="H310" s="28">
        <f>F310*G310</f>
        <v>0</v>
      </c>
      <c r="J310" s="120"/>
    </row>
    <row r="311" spans="1:10" s="118" customFormat="1" ht="13.8">
      <c r="A311" s="182">
        <v>130</v>
      </c>
      <c r="B311" s="26">
        <v>714</v>
      </c>
      <c r="C311" s="26" t="s">
        <v>752</v>
      </c>
      <c r="D311" s="26" t="s">
        <v>746</v>
      </c>
      <c r="E311" s="26" t="s">
        <v>18</v>
      </c>
      <c r="F311" s="27">
        <v>176</v>
      </c>
      <c r="G311" s="298"/>
      <c r="H311" s="28">
        <f>F311*G311</f>
        <v>0</v>
      </c>
      <c r="J311" s="120"/>
    </row>
    <row r="312" spans="1:10" s="118" customFormat="1" ht="13.8">
      <c r="A312" s="182">
        <v>131</v>
      </c>
      <c r="B312" s="26">
        <v>714</v>
      </c>
      <c r="C312" s="26" t="s">
        <v>753</v>
      </c>
      <c r="D312" s="26" t="s">
        <v>747</v>
      </c>
      <c r="E312" s="26" t="s">
        <v>18</v>
      </c>
      <c r="F312" s="27">
        <v>176</v>
      </c>
      <c r="G312" s="298"/>
      <c r="H312" s="28">
        <f aca="true" t="shared" si="2" ref="H312:H314">F312*G312</f>
        <v>0</v>
      </c>
      <c r="J312" s="120"/>
    </row>
    <row r="313" spans="1:10" s="118" customFormat="1" ht="41.4">
      <c r="A313" s="182">
        <v>132</v>
      </c>
      <c r="B313" s="26">
        <v>714</v>
      </c>
      <c r="C313" s="26" t="s">
        <v>754</v>
      </c>
      <c r="D313" s="26" t="s">
        <v>748</v>
      </c>
      <c r="E313" s="26" t="s">
        <v>18</v>
      </c>
      <c r="F313" s="27">
        <v>14.4</v>
      </c>
      <c r="G313" s="298"/>
      <c r="H313" s="28">
        <f t="shared" si="2"/>
        <v>0</v>
      </c>
      <c r="J313" s="120"/>
    </row>
    <row r="314" spans="1:10" s="118" customFormat="1" ht="13.8">
      <c r="A314" s="182">
        <v>133</v>
      </c>
      <c r="B314" s="26">
        <v>714</v>
      </c>
      <c r="C314" s="26" t="s">
        <v>755</v>
      </c>
      <c r="D314" s="26" t="s">
        <v>749</v>
      </c>
      <c r="E314" s="26" t="s">
        <v>18</v>
      </c>
      <c r="F314" s="27">
        <v>14.4</v>
      </c>
      <c r="G314" s="298"/>
      <c r="H314" s="28">
        <f t="shared" si="2"/>
        <v>0</v>
      </c>
      <c r="J314" s="120"/>
    </row>
    <row r="315" spans="1:10" s="118" customFormat="1" ht="13.8">
      <c r="A315" s="182">
        <v>134</v>
      </c>
      <c r="B315" s="26">
        <v>998</v>
      </c>
      <c r="C315" s="26">
        <v>998714202</v>
      </c>
      <c r="D315" s="26" t="s">
        <v>878</v>
      </c>
      <c r="E315" s="26" t="s">
        <v>21</v>
      </c>
      <c r="F315" s="27">
        <v>1.07</v>
      </c>
      <c r="G315" s="298"/>
      <c r="H315" s="28">
        <f>F315*G315</f>
        <v>0</v>
      </c>
      <c r="J315" s="120"/>
    </row>
    <row r="316" spans="1:10" s="118" customFormat="1" ht="13.8">
      <c r="A316" s="182">
        <v>135</v>
      </c>
      <c r="B316" s="26">
        <v>999</v>
      </c>
      <c r="C316" s="26" t="s">
        <v>340</v>
      </c>
      <c r="D316" s="26" t="s">
        <v>341</v>
      </c>
      <c r="E316" s="26" t="s">
        <v>46</v>
      </c>
      <c r="F316" s="27">
        <v>1</v>
      </c>
      <c r="G316" s="298"/>
      <c r="H316" s="28">
        <f>F316*G316</f>
        <v>0</v>
      </c>
      <c r="J316" s="120"/>
    </row>
    <row r="317" spans="1:10" s="118" customFormat="1" ht="13.8">
      <c r="A317" s="182"/>
      <c r="B317" s="26"/>
      <c r="C317" s="26"/>
      <c r="D317" s="29" t="s">
        <v>81</v>
      </c>
      <c r="E317" s="26"/>
      <c r="F317" s="30">
        <v>1</v>
      </c>
      <c r="G317" s="298"/>
      <c r="H317" s="28"/>
      <c r="J317" s="120"/>
    </row>
    <row r="318" spans="1:8" ht="15">
      <c r="A318" s="183"/>
      <c r="B318" s="15"/>
      <c r="C318" s="15">
        <v>721</v>
      </c>
      <c r="D318" s="15" t="s">
        <v>110</v>
      </c>
      <c r="E318" s="15"/>
      <c r="F318" s="16"/>
      <c r="G318" s="299"/>
      <c r="H318" s="17">
        <f>SUM(H319:H329)</f>
        <v>0</v>
      </c>
    </row>
    <row r="319" spans="1:10" s="118" customFormat="1" ht="13.8">
      <c r="A319" s="182">
        <v>136</v>
      </c>
      <c r="B319" s="26">
        <v>725</v>
      </c>
      <c r="C319" s="26">
        <v>725110811</v>
      </c>
      <c r="D319" s="26" t="s">
        <v>699</v>
      </c>
      <c r="E319" s="26" t="s">
        <v>695</v>
      </c>
      <c r="F319" s="27">
        <f>F320</f>
        <v>2</v>
      </c>
      <c r="G319" s="298"/>
      <c r="H319" s="28">
        <f>F319*G319</f>
        <v>0</v>
      </c>
      <c r="J319" s="120"/>
    </row>
    <row r="320" spans="1:10" s="118" customFormat="1" ht="13.8">
      <c r="A320" s="182"/>
      <c r="B320" s="26"/>
      <c r="C320" s="26"/>
      <c r="D320" s="29" t="s">
        <v>698</v>
      </c>
      <c r="E320" s="26"/>
      <c r="F320" s="30">
        <v>2</v>
      </c>
      <c r="G320" s="298"/>
      <c r="H320" s="28"/>
      <c r="J320" s="120"/>
    </row>
    <row r="321" spans="1:10" s="118" customFormat="1" ht="13.8">
      <c r="A321" s="182">
        <v>137</v>
      </c>
      <c r="B321" s="26">
        <v>725</v>
      </c>
      <c r="C321" s="26">
        <v>725122813</v>
      </c>
      <c r="D321" s="26" t="s">
        <v>700</v>
      </c>
      <c r="E321" s="26" t="s">
        <v>695</v>
      </c>
      <c r="F321" s="27">
        <f>F322</f>
        <v>2</v>
      </c>
      <c r="G321" s="298"/>
      <c r="H321" s="28">
        <f>F321*G321</f>
        <v>0</v>
      </c>
      <c r="J321" s="120"/>
    </row>
    <row r="322" spans="1:10" s="118" customFormat="1" ht="13.8">
      <c r="A322" s="182"/>
      <c r="B322" s="26"/>
      <c r="C322" s="26"/>
      <c r="D322" s="29" t="s">
        <v>698</v>
      </c>
      <c r="E322" s="26"/>
      <c r="F322" s="30">
        <v>2</v>
      </c>
      <c r="G322" s="298"/>
      <c r="H322" s="28"/>
      <c r="J322" s="120"/>
    </row>
    <row r="323" spans="1:10" s="118" customFormat="1" ht="13.8">
      <c r="A323" s="182">
        <v>138</v>
      </c>
      <c r="B323" s="26">
        <v>725</v>
      </c>
      <c r="C323" s="26">
        <v>725210821</v>
      </c>
      <c r="D323" s="26" t="s">
        <v>694</v>
      </c>
      <c r="E323" s="26" t="s">
        <v>695</v>
      </c>
      <c r="F323" s="27">
        <f>SUM(F324:F325)</f>
        <v>5</v>
      </c>
      <c r="G323" s="298"/>
      <c r="H323" s="28">
        <f>F323*G323</f>
        <v>0</v>
      </c>
      <c r="J323" s="120"/>
    </row>
    <row r="324" spans="1:10" s="118" customFormat="1" ht="13.8">
      <c r="A324" s="182"/>
      <c r="B324" s="26"/>
      <c r="C324" s="26"/>
      <c r="D324" s="29" t="s">
        <v>696</v>
      </c>
      <c r="E324" s="26"/>
      <c r="F324" s="30">
        <v>3</v>
      </c>
      <c r="G324" s="298"/>
      <c r="H324" s="28"/>
      <c r="J324" s="120"/>
    </row>
    <row r="325" spans="1:10" s="118" customFormat="1" ht="13.8">
      <c r="A325" s="182"/>
      <c r="B325" s="26"/>
      <c r="C325" s="26"/>
      <c r="D325" s="29" t="s">
        <v>698</v>
      </c>
      <c r="E325" s="26"/>
      <c r="F325" s="30">
        <v>2</v>
      </c>
      <c r="G325" s="298"/>
      <c r="H325" s="28"/>
      <c r="J325" s="120"/>
    </row>
    <row r="326" spans="1:10" s="118" customFormat="1" ht="13.8">
      <c r="A326" s="182">
        <v>139</v>
      </c>
      <c r="B326" s="26">
        <v>725</v>
      </c>
      <c r="C326" s="26">
        <v>725330840</v>
      </c>
      <c r="D326" s="26" t="s">
        <v>697</v>
      </c>
      <c r="E326" s="26" t="s">
        <v>695</v>
      </c>
      <c r="F326" s="27">
        <f>F327</f>
        <v>1</v>
      </c>
      <c r="G326" s="298"/>
      <c r="H326" s="28">
        <f>F326*G326</f>
        <v>0</v>
      </c>
      <c r="J326" s="120"/>
    </row>
    <row r="327" spans="1:10" s="118" customFormat="1" ht="13.8">
      <c r="A327" s="182"/>
      <c r="B327" s="26"/>
      <c r="C327" s="26"/>
      <c r="D327" s="29" t="s">
        <v>696</v>
      </c>
      <c r="E327" s="26"/>
      <c r="F327" s="30">
        <v>1</v>
      </c>
      <c r="G327" s="298"/>
      <c r="H327" s="28"/>
      <c r="J327" s="120"/>
    </row>
    <row r="328" spans="1:10" s="118" customFormat="1" ht="13.8">
      <c r="A328" s="182">
        <v>140</v>
      </c>
      <c r="B328" s="26">
        <v>733</v>
      </c>
      <c r="C328" s="26" t="s">
        <v>478</v>
      </c>
      <c r="D328" s="26" t="s">
        <v>479</v>
      </c>
      <c r="E328" s="26" t="s">
        <v>26</v>
      </c>
      <c r="F328" s="27">
        <f>F329</f>
        <v>41</v>
      </c>
      <c r="G328" s="298"/>
      <c r="H328" s="28">
        <f>F328*G328</f>
        <v>0</v>
      </c>
      <c r="J328" s="120"/>
    </row>
    <row r="329" spans="1:10" s="118" customFormat="1" ht="13.8">
      <c r="A329" s="182"/>
      <c r="B329" s="26"/>
      <c r="C329" s="26"/>
      <c r="D329" s="29" t="s">
        <v>480</v>
      </c>
      <c r="E329" s="26"/>
      <c r="F329" s="30">
        <v>41</v>
      </c>
      <c r="G329" s="298"/>
      <c r="H329" s="28"/>
      <c r="J329" s="120"/>
    </row>
    <row r="330" spans="1:8" ht="15">
      <c r="A330" s="183"/>
      <c r="B330" s="15"/>
      <c r="C330" s="15">
        <v>751</v>
      </c>
      <c r="D330" s="15" t="s">
        <v>109</v>
      </c>
      <c r="E330" s="15"/>
      <c r="F330" s="16"/>
      <c r="G330" s="299"/>
      <c r="H330" s="17">
        <f>SUM(H331:H337)</f>
        <v>0</v>
      </c>
    </row>
    <row r="331" spans="1:10" s="118" customFormat="1" ht="13.8">
      <c r="A331" s="182">
        <v>141</v>
      </c>
      <c r="B331" s="26">
        <v>751</v>
      </c>
      <c r="C331" s="26" t="s">
        <v>252</v>
      </c>
      <c r="D331" s="26" t="s">
        <v>253</v>
      </c>
      <c r="E331" s="26" t="s">
        <v>26</v>
      </c>
      <c r="F331" s="27">
        <f>SUM(F332:F333)</f>
        <v>48</v>
      </c>
      <c r="G331" s="298"/>
      <c r="H331" s="28">
        <f>F331*G331</f>
        <v>0</v>
      </c>
      <c r="J331" s="120"/>
    </row>
    <row r="332" spans="1:10" s="118" customFormat="1" ht="13.8">
      <c r="A332" s="182"/>
      <c r="B332" s="26"/>
      <c r="C332" s="26"/>
      <c r="D332" s="29" t="s">
        <v>254</v>
      </c>
      <c r="E332" s="26"/>
      <c r="F332" s="30">
        <v>7</v>
      </c>
      <c r="G332" s="298"/>
      <c r="H332" s="28"/>
      <c r="J332" s="120"/>
    </row>
    <row r="333" spans="1:10" s="118" customFormat="1" ht="13.8">
      <c r="A333" s="182"/>
      <c r="B333" s="26"/>
      <c r="C333" s="26"/>
      <c r="D333" s="29" t="s">
        <v>255</v>
      </c>
      <c r="E333" s="26"/>
      <c r="F333" s="30">
        <v>41</v>
      </c>
      <c r="G333" s="298"/>
      <c r="H333" s="28"/>
      <c r="J333" s="120"/>
    </row>
    <row r="334" spans="1:10" s="118" customFormat="1" ht="13.8">
      <c r="A334" s="182">
        <v>142</v>
      </c>
      <c r="B334" s="26">
        <v>751</v>
      </c>
      <c r="C334" s="26">
        <v>751398822</v>
      </c>
      <c r="D334" s="26" t="s">
        <v>499</v>
      </c>
      <c r="E334" s="26" t="s">
        <v>26</v>
      </c>
      <c r="F334" s="27">
        <f>F335</f>
        <v>1</v>
      </c>
      <c r="G334" s="298"/>
      <c r="H334" s="28">
        <f>F334*G334</f>
        <v>0</v>
      </c>
      <c r="J334" s="120"/>
    </row>
    <row r="335" spans="1:10" s="118" customFormat="1" ht="13.8">
      <c r="A335" s="182"/>
      <c r="B335" s="26"/>
      <c r="C335" s="26"/>
      <c r="D335" s="29" t="s">
        <v>500</v>
      </c>
      <c r="E335" s="26"/>
      <c r="F335" s="30">
        <v>1</v>
      </c>
      <c r="G335" s="298"/>
      <c r="H335" s="28"/>
      <c r="J335" s="120"/>
    </row>
    <row r="336" spans="1:10" s="118" customFormat="1" ht="13.8">
      <c r="A336" s="182">
        <v>143</v>
      </c>
      <c r="B336" s="26">
        <v>751</v>
      </c>
      <c r="C336" s="26">
        <v>751398824</v>
      </c>
      <c r="D336" s="26" t="s">
        <v>501</v>
      </c>
      <c r="E336" s="26" t="s">
        <v>26</v>
      </c>
      <c r="F336" s="27">
        <f>F337</f>
        <v>1</v>
      </c>
      <c r="G336" s="298"/>
      <c r="H336" s="28">
        <f>F336*G336</f>
        <v>0</v>
      </c>
      <c r="J336" s="120"/>
    </row>
    <row r="337" spans="1:10" s="118" customFormat="1" ht="13.8">
      <c r="A337" s="182"/>
      <c r="B337" s="26"/>
      <c r="C337" s="26"/>
      <c r="D337" s="29" t="s">
        <v>502</v>
      </c>
      <c r="E337" s="26"/>
      <c r="F337" s="30">
        <v>1</v>
      </c>
      <c r="G337" s="298"/>
      <c r="H337" s="28"/>
      <c r="J337" s="120"/>
    </row>
    <row r="338" spans="1:8" ht="15">
      <c r="A338" s="183"/>
      <c r="B338" s="15"/>
      <c r="C338" s="15">
        <v>762</v>
      </c>
      <c r="D338" s="15" t="s">
        <v>122</v>
      </c>
      <c r="E338" s="15"/>
      <c r="F338" s="16"/>
      <c r="G338" s="299"/>
      <c r="H338" s="17">
        <f>SUM(H339:H353)</f>
        <v>0</v>
      </c>
    </row>
    <row r="339" spans="1:10" s="118" customFormat="1" ht="13.8">
      <c r="A339" s="182">
        <v>144</v>
      </c>
      <c r="B339" s="26">
        <v>762</v>
      </c>
      <c r="C339" s="26">
        <v>762083111</v>
      </c>
      <c r="D339" s="26" t="s">
        <v>151</v>
      </c>
      <c r="E339" s="26" t="s">
        <v>17</v>
      </c>
      <c r="F339" s="27">
        <f>F340</f>
        <v>2.1846</v>
      </c>
      <c r="G339" s="298"/>
      <c r="H339" s="28">
        <f>F339*G339</f>
        <v>0</v>
      </c>
      <c r="J339" s="120"/>
    </row>
    <row r="340" spans="1:10" s="118" customFormat="1" ht="13.8">
      <c r="A340" s="182"/>
      <c r="B340" s="26"/>
      <c r="C340" s="26"/>
      <c r="D340" s="29" t="s">
        <v>168</v>
      </c>
      <c r="E340" s="26"/>
      <c r="F340" s="30">
        <f>F345+F346*0.02</f>
        <v>2.1846</v>
      </c>
      <c r="G340" s="298"/>
      <c r="H340" s="28"/>
      <c r="J340" s="120"/>
    </row>
    <row r="341" spans="1:10" s="118" customFormat="1" ht="13.8">
      <c r="A341" s="182">
        <v>145</v>
      </c>
      <c r="B341" s="26">
        <v>762</v>
      </c>
      <c r="C341" s="26">
        <v>762711840</v>
      </c>
      <c r="D341" s="26" t="s">
        <v>672</v>
      </c>
      <c r="E341" s="26" t="s">
        <v>17</v>
      </c>
      <c r="F341" s="27">
        <f>F342</f>
        <v>5.19</v>
      </c>
      <c r="G341" s="298"/>
      <c r="H341" s="28">
        <f>F341*G341</f>
        <v>0</v>
      </c>
      <c r="J341" s="120"/>
    </row>
    <row r="342" spans="1:10" s="118" customFormat="1" ht="13.8">
      <c r="A342" s="182"/>
      <c r="B342" s="26"/>
      <c r="C342" s="26"/>
      <c r="D342" s="29" t="s">
        <v>673</v>
      </c>
      <c r="E342" s="26"/>
      <c r="F342" s="30">
        <f>(2*7.3+0.6+2.1)*0.3</f>
        <v>5.19</v>
      </c>
      <c r="G342" s="298"/>
      <c r="H342" s="28"/>
      <c r="J342" s="120"/>
    </row>
    <row r="343" spans="1:10" s="118" customFormat="1" ht="13.8">
      <c r="A343" s="182">
        <v>146</v>
      </c>
      <c r="B343" s="26">
        <v>762</v>
      </c>
      <c r="C343" s="26">
        <v>762713111</v>
      </c>
      <c r="D343" s="26" t="s">
        <v>338</v>
      </c>
      <c r="E343" s="26" t="s">
        <v>74</v>
      </c>
      <c r="F343" s="27">
        <f>F344</f>
        <v>324.3</v>
      </c>
      <c r="G343" s="298"/>
      <c r="H343" s="28">
        <f>F343*G343</f>
        <v>0</v>
      </c>
      <c r="J343" s="120"/>
    </row>
    <row r="344" spans="1:10" s="118" customFormat="1" ht="13.8">
      <c r="A344" s="182"/>
      <c r="B344" s="26"/>
      <c r="C344" s="26"/>
      <c r="D344" s="29" t="s">
        <v>803</v>
      </c>
      <c r="E344" s="26"/>
      <c r="F344" s="30">
        <f>111+111+80.3+22</f>
        <v>324.3</v>
      </c>
      <c r="G344" s="298"/>
      <c r="H344" s="28"/>
      <c r="J344" s="120"/>
    </row>
    <row r="345" spans="1:10" s="167" customFormat="1" ht="15">
      <c r="A345" s="184">
        <v>147</v>
      </c>
      <c r="B345" s="164">
        <v>605</v>
      </c>
      <c r="C345" s="164">
        <v>60512126</v>
      </c>
      <c r="D345" s="164" t="s">
        <v>152</v>
      </c>
      <c r="E345" s="164" t="s">
        <v>17</v>
      </c>
      <c r="F345" s="165">
        <f>1.1*(111*(0.06*0.06)+111*(0.06*0.04))</f>
        <v>0.7326</v>
      </c>
      <c r="G345" s="300"/>
      <c r="H345" s="166">
        <f>F345*G345</f>
        <v>0</v>
      </c>
      <c r="J345" s="168"/>
    </row>
    <row r="346" spans="1:10" s="167" customFormat="1" ht="15">
      <c r="A346" s="184">
        <v>148</v>
      </c>
      <c r="B346" s="164">
        <v>607</v>
      </c>
      <c r="C346" s="164">
        <v>60726285</v>
      </c>
      <c r="D346" s="164" t="s">
        <v>339</v>
      </c>
      <c r="E346" s="164" t="s">
        <v>18</v>
      </c>
      <c r="F346" s="165">
        <f>1.1*(9*(3*2)+2*(3*2))</f>
        <v>72.60000000000001</v>
      </c>
      <c r="G346" s="300"/>
      <c r="H346" s="166">
        <f>F346*G346</f>
        <v>0</v>
      </c>
      <c r="J346" s="168"/>
    </row>
    <row r="347" spans="1:10" s="118" customFormat="1" ht="13.8">
      <c r="A347" s="182">
        <v>149</v>
      </c>
      <c r="B347" s="26">
        <v>762</v>
      </c>
      <c r="C347" s="26" t="s">
        <v>408</v>
      </c>
      <c r="D347" s="26" t="s">
        <v>409</v>
      </c>
      <c r="E347" s="26" t="s">
        <v>17</v>
      </c>
      <c r="F347" s="27">
        <f>F348</f>
        <v>2.3</v>
      </c>
      <c r="G347" s="298"/>
      <c r="H347" s="28">
        <f>F347*G347</f>
        <v>0</v>
      </c>
      <c r="J347" s="120"/>
    </row>
    <row r="348" spans="1:10" s="118" customFormat="1" ht="13.8">
      <c r="A348" s="182"/>
      <c r="B348" s="26"/>
      <c r="C348" s="26"/>
      <c r="D348" s="29" t="s">
        <v>410</v>
      </c>
      <c r="E348" s="26"/>
      <c r="F348" s="30">
        <v>2.3</v>
      </c>
      <c r="G348" s="298"/>
      <c r="H348" s="28"/>
      <c r="J348" s="120"/>
    </row>
    <row r="349" spans="1:10" s="118" customFormat="1" ht="13.8">
      <c r="A349" s="182">
        <v>150</v>
      </c>
      <c r="B349" s="26">
        <v>762</v>
      </c>
      <c r="C349" s="26">
        <v>762814812</v>
      </c>
      <c r="D349" s="26" t="s">
        <v>250</v>
      </c>
      <c r="E349" s="26" t="s">
        <v>18</v>
      </c>
      <c r="F349" s="27">
        <f>F350</f>
        <v>30.4375</v>
      </c>
      <c r="G349" s="298"/>
      <c r="H349" s="28">
        <f>F349*G349</f>
        <v>0</v>
      </c>
      <c r="J349" s="120"/>
    </row>
    <row r="350" spans="1:10" s="118" customFormat="1" ht="25.05" customHeight="1">
      <c r="A350" s="182"/>
      <c r="B350" s="26"/>
      <c r="C350" s="26"/>
      <c r="D350" s="29" t="s">
        <v>708</v>
      </c>
      <c r="E350" s="26"/>
      <c r="F350" s="30">
        <f>22+4.5+5*(0.75*0.75)+2*(0.75*0.75)</f>
        <v>30.4375</v>
      </c>
      <c r="G350" s="298"/>
      <c r="H350" s="28"/>
      <c r="J350" s="120"/>
    </row>
    <row r="351" spans="1:10" s="118" customFormat="1" ht="13.8">
      <c r="A351" s="182">
        <v>151</v>
      </c>
      <c r="B351" s="26">
        <v>998</v>
      </c>
      <c r="C351" s="26">
        <v>998762202</v>
      </c>
      <c r="D351" s="26" t="s">
        <v>877</v>
      </c>
      <c r="E351" s="26" t="s">
        <v>21</v>
      </c>
      <c r="F351" s="27">
        <v>5.58</v>
      </c>
      <c r="G351" s="298"/>
      <c r="H351" s="28">
        <f>F351*G351</f>
        <v>0</v>
      </c>
      <c r="J351" s="120"/>
    </row>
    <row r="352" spans="1:10" s="118" customFormat="1" ht="13.8">
      <c r="A352" s="182">
        <v>152</v>
      </c>
      <c r="B352" s="26">
        <v>999</v>
      </c>
      <c r="C352" s="26" t="s">
        <v>174</v>
      </c>
      <c r="D352" s="26" t="s">
        <v>175</v>
      </c>
      <c r="E352" s="26" t="s">
        <v>46</v>
      </c>
      <c r="F352" s="27">
        <v>1</v>
      </c>
      <c r="G352" s="298"/>
      <c r="H352" s="28">
        <f>F352*G352</f>
        <v>0</v>
      </c>
      <c r="J352" s="120"/>
    </row>
    <row r="353" spans="1:10" s="118" customFormat="1" ht="13.8">
      <c r="A353" s="182"/>
      <c r="B353" s="26"/>
      <c r="C353" s="26"/>
      <c r="D353" s="29" t="s">
        <v>81</v>
      </c>
      <c r="E353" s="26"/>
      <c r="F353" s="30">
        <v>1</v>
      </c>
      <c r="G353" s="298"/>
      <c r="H353" s="28"/>
      <c r="J353" s="120"/>
    </row>
    <row r="354" spans="1:8" ht="15">
      <c r="A354" s="183"/>
      <c r="B354" s="15"/>
      <c r="C354" s="15">
        <v>763</v>
      </c>
      <c r="D354" s="15" t="s">
        <v>140</v>
      </c>
      <c r="E354" s="15"/>
      <c r="F354" s="16"/>
      <c r="G354" s="299"/>
      <c r="H354" s="17">
        <f>SUM(H355:H371)</f>
        <v>0</v>
      </c>
    </row>
    <row r="355" spans="1:10" s="118" customFormat="1" ht="13.8">
      <c r="A355" s="182">
        <v>153</v>
      </c>
      <c r="B355" s="26">
        <v>763</v>
      </c>
      <c r="C355" s="26">
        <v>763121811</v>
      </c>
      <c r="D355" s="26" t="s">
        <v>666</v>
      </c>
      <c r="E355" s="26" t="s">
        <v>18</v>
      </c>
      <c r="F355" s="27">
        <f>F356</f>
        <v>19.200000000000003</v>
      </c>
      <c r="G355" s="298"/>
      <c r="H355" s="28">
        <f>F355*G355</f>
        <v>0</v>
      </c>
      <c r="J355" s="120"/>
    </row>
    <row r="356" spans="1:10" s="118" customFormat="1" ht="15">
      <c r="A356" s="186"/>
      <c r="B356" s="29"/>
      <c r="C356" s="29"/>
      <c r="D356" s="29" t="s">
        <v>667</v>
      </c>
      <c r="E356" s="29"/>
      <c r="F356" s="122">
        <f>3*6.4</f>
        <v>19.200000000000003</v>
      </c>
      <c r="G356" s="302"/>
      <c r="H356" s="119"/>
      <c r="I356" s="121"/>
      <c r="J356" s="141"/>
    </row>
    <row r="357" spans="1:10" s="118" customFormat="1" ht="21">
      <c r="A357" s="182">
        <v>154</v>
      </c>
      <c r="B357" s="26">
        <v>763</v>
      </c>
      <c r="C357" s="26">
        <v>763135102</v>
      </c>
      <c r="D357" s="26" t="s">
        <v>279</v>
      </c>
      <c r="E357" s="26" t="s">
        <v>18</v>
      </c>
      <c r="F357" s="27">
        <f>SUM(F358:F361)</f>
        <v>148.5</v>
      </c>
      <c r="G357" s="298"/>
      <c r="H357" s="28">
        <f>F357*G357</f>
        <v>0</v>
      </c>
      <c r="J357" s="120"/>
    </row>
    <row r="358" spans="1:10" s="118" customFormat="1" ht="15">
      <c r="A358" s="186"/>
      <c r="B358" s="29"/>
      <c r="C358" s="29"/>
      <c r="D358" s="29" t="s">
        <v>756</v>
      </c>
      <c r="E358" s="29"/>
      <c r="F358" s="122">
        <f>28.7+18.6+7.3+10.8</f>
        <v>65.39999999999999</v>
      </c>
      <c r="G358" s="302"/>
      <c r="H358" s="119"/>
      <c r="I358" s="121"/>
      <c r="J358" s="141"/>
    </row>
    <row r="359" spans="1:10" s="118" customFormat="1" ht="15">
      <c r="A359" s="186"/>
      <c r="B359" s="29"/>
      <c r="C359" s="29"/>
      <c r="D359" s="29" t="s">
        <v>757</v>
      </c>
      <c r="E359" s="29"/>
      <c r="F359" s="122">
        <f>13.8+25.3</f>
        <v>39.1</v>
      </c>
      <c r="G359" s="302"/>
      <c r="H359" s="119"/>
      <c r="I359" s="121"/>
      <c r="J359" s="141"/>
    </row>
    <row r="360" spans="1:10" s="118" customFormat="1" ht="15">
      <c r="A360" s="186"/>
      <c r="B360" s="29"/>
      <c r="C360" s="29"/>
      <c r="D360" s="29" t="s">
        <v>758</v>
      </c>
      <c r="E360" s="29"/>
      <c r="F360" s="122">
        <v>18.6</v>
      </c>
      <c r="G360" s="302"/>
      <c r="H360" s="119"/>
      <c r="I360" s="121"/>
      <c r="J360" s="141"/>
    </row>
    <row r="361" spans="1:10" s="118" customFormat="1" ht="15">
      <c r="A361" s="186"/>
      <c r="B361" s="29"/>
      <c r="C361" s="29"/>
      <c r="D361" s="29" t="s">
        <v>759</v>
      </c>
      <c r="E361" s="29"/>
      <c r="F361" s="122">
        <f>25.4</f>
        <v>25.4</v>
      </c>
      <c r="G361" s="302"/>
      <c r="H361" s="119"/>
      <c r="I361" s="121"/>
      <c r="J361" s="141"/>
    </row>
    <row r="362" spans="1:10" s="167" customFormat="1" ht="21.6">
      <c r="A362" s="184">
        <v>155</v>
      </c>
      <c r="B362" s="164">
        <v>590</v>
      </c>
      <c r="C362" s="164" t="s">
        <v>760</v>
      </c>
      <c r="D362" s="164" t="s">
        <v>281</v>
      </c>
      <c r="E362" s="164" t="s">
        <v>18</v>
      </c>
      <c r="F362" s="165">
        <f>1.1*(F358+F360)</f>
        <v>92.4</v>
      </c>
      <c r="G362" s="300"/>
      <c r="H362" s="166">
        <f>F362*G362</f>
        <v>0</v>
      </c>
      <c r="J362" s="168"/>
    </row>
    <row r="363" spans="1:10" s="167" customFormat="1" ht="21.6">
      <c r="A363" s="184">
        <v>156</v>
      </c>
      <c r="B363" s="164">
        <v>590</v>
      </c>
      <c r="C363" s="164" t="s">
        <v>761</v>
      </c>
      <c r="D363" s="164" t="s">
        <v>762</v>
      </c>
      <c r="E363" s="164" t="s">
        <v>18</v>
      </c>
      <c r="F363" s="165">
        <f>1.1*(F359+F361)</f>
        <v>70.95</v>
      </c>
      <c r="G363" s="300"/>
      <c r="H363" s="166">
        <f>F363*G363</f>
        <v>0</v>
      </c>
      <c r="J363" s="168"/>
    </row>
    <row r="364" spans="1:10" s="118" customFormat="1" ht="13.8">
      <c r="A364" s="182">
        <v>157</v>
      </c>
      <c r="B364" s="26">
        <v>763</v>
      </c>
      <c r="C364" s="26">
        <v>763211812</v>
      </c>
      <c r="D364" s="26" t="s">
        <v>663</v>
      </c>
      <c r="E364" s="26" t="s">
        <v>18</v>
      </c>
      <c r="F364" s="27">
        <f>SUM(F365:F366)</f>
        <v>26.250000000000004</v>
      </c>
      <c r="G364" s="298"/>
      <c r="H364" s="28">
        <f>F364*G364</f>
        <v>0</v>
      </c>
      <c r="J364" s="120"/>
    </row>
    <row r="365" spans="1:10" s="118" customFormat="1" ht="15">
      <c r="A365" s="186"/>
      <c r="B365" s="29"/>
      <c r="C365" s="29"/>
      <c r="D365" s="29" t="s">
        <v>664</v>
      </c>
      <c r="E365" s="29"/>
      <c r="F365" s="122">
        <f>3*2.85</f>
        <v>8.55</v>
      </c>
      <c r="G365" s="302"/>
      <c r="H365" s="119"/>
      <c r="I365" s="121"/>
      <c r="J365" s="141"/>
    </row>
    <row r="366" spans="1:10" s="118" customFormat="1" ht="15">
      <c r="A366" s="186"/>
      <c r="B366" s="29"/>
      <c r="C366" s="29"/>
      <c r="D366" s="29" t="s">
        <v>665</v>
      </c>
      <c r="E366" s="29"/>
      <c r="F366" s="122">
        <f>3*5.9</f>
        <v>17.700000000000003</v>
      </c>
      <c r="G366" s="302"/>
      <c r="H366" s="119"/>
      <c r="I366" s="121"/>
      <c r="J366" s="141"/>
    </row>
    <row r="367" spans="1:10" s="118" customFormat="1" ht="13.8">
      <c r="A367" s="182">
        <v>158</v>
      </c>
      <c r="B367" s="26">
        <v>763</v>
      </c>
      <c r="C367" s="26">
        <v>763231822</v>
      </c>
      <c r="D367" s="26" t="s">
        <v>245</v>
      </c>
      <c r="E367" s="26" t="s">
        <v>18</v>
      </c>
      <c r="F367" s="27">
        <f>F368</f>
        <v>27.2</v>
      </c>
      <c r="G367" s="298"/>
      <c r="H367" s="28">
        <f>F367*G367</f>
        <v>0</v>
      </c>
      <c r="J367" s="120"/>
    </row>
    <row r="368" spans="1:10" s="118" customFormat="1" ht="15">
      <c r="A368" s="186"/>
      <c r="B368" s="29"/>
      <c r="C368" s="29"/>
      <c r="D368" s="29" t="s">
        <v>654</v>
      </c>
      <c r="E368" s="29"/>
      <c r="F368" s="122">
        <f>27.2</f>
        <v>27.2</v>
      </c>
      <c r="G368" s="302"/>
      <c r="H368" s="119"/>
      <c r="I368" s="121"/>
      <c r="J368" s="141"/>
    </row>
    <row r="369" spans="1:10" s="118" customFormat="1" ht="13.8">
      <c r="A369" s="182">
        <v>159</v>
      </c>
      <c r="B369" s="26">
        <v>998</v>
      </c>
      <c r="C369" s="26">
        <v>998763402</v>
      </c>
      <c r="D369" s="26" t="s">
        <v>876</v>
      </c>
      <c r="E369" s="26" t="s">
        <v>21</v>
      </c>
      <c r="F369" s="27">
        <v>1.52</v>
      </c>
      <c r="G369" s="298"/>
      <c r="H369" s="28">
        <f>F369*G369</f>
        <v>0</v>
      </c>
      <c r="J369" s="120"/>
    </row>
    <row r="370" spans="1:10" s="118" customFormat="1" ht="13.8">
      <c r="A370" s="182">
        <v>160</v>
      </c>
      <c r="B370" s="26">
        <v>999</v>
      </c>
      <c r="C370" s="26" t="s">
        <v>176</v>
      </c>
      <c r="D370" s="26" t="s">
        <v>177</v>
      </c>
      <c r="E370" s="26" t="s">
        <v>46</v>
      </c>
      <c r="F370" s="27">
        <v>1</v>
      </c>
      <c r="G370" s="298"/>
      <c r="H370" s="28">
        <f>F370*G370</f>
        <v>0</v>
      </c>
      <c r="J370" s="120"/>
    </row>
    <row r="371" spans="1:10" s="118" customFormat="1" ht="13.8">
      <c r="A371" s="182"/>
      <c r="B371" s="26"/>
      <c r="C371" s="26"/>
      <c r="D371" s="29" t="s">
        <v>81</v>
      </c>
      <c r="E371" s="26"/>
      <c r="F371" s="30">
        <v>1</v>
      </c>
      <c r="G371" s="298"/>
      <c r="H371" s="28"/>
      <c r="J371" s="120"/>
    </row>
    <row r="372" spans="1:8" ht="15">
      <c r="A372" s="183"/>
      <c r="B372" s="15"/>
      <c r="C372" s="15">
        <v>764</v>
      </c>
      <c r="D372" s="15" t="s">
        <v>75</v>
      </c>
      <c r="E372" s="15"/>
      <c r="F372" s="16"/>
      <c r="G372" s="299"/>
      <c r="H372" s="17">
        <f>SUM(H373:H440)</f>
        <v>0</v>
      </c>
    </row>
    <row r="373" spans="1:10" s="118" customFormat="1" ht="13.8">
      <c r="A373" s="182">
        <v>161</v>
      </c>
      <c r="B373" s="26">
        <v>764</v>
      </c>
      <c r="C373" s="26">
        <v>764004811</v>
      </c>
      <c r="D373" s="26" t="s">
        <v>704</v>
      </c>
      <c r="E373" s="26" t="s">
        <v>74</v>
      </c>
      <c r="F373" s="27">
        <f>F374</f>
        <v>10</v>
      </c>
      <c r="G373" s="298"/>
      <c r="H373" s="28">
        <f>F373*G373</f>
        <v>0</v>
      </c>
      <c r="J373" s="120"/>
    </row>
    <row r="374" spans="1:10" s="118" customFormat="1" ht="15">
      <c r="A374" s="186"/>
      <c r="B374" s="29"/>
      <c r="C374" s="29"/>
      <c r="D374" s="29" t="s">
        <v>705</v>
      </c>
      <c r="E374" s="29"/>
      <c r="F374" s="122">
        <v>10</v>
      </c>
      <c r="G374" s="302"/>
      <c r="H374" s="119"/>
      <c r="I374" s="121"/>
      <c r="J374" s="141"/>
    </row>
    <row r="375" spans="1:10" s="118" customFormat="1" ht="13.8">
      <c r="A375" s="182">
        <v>162</v>
      </c>
      <c r="B375" s="26">
        <v>764</v>
      </c>
      <c r="C375" s="26">
        <v>764004861</v>
      </c>
      <c r="D375" s="26" t="s">
        <v>702</v>
      </c>
      <c r="E375" s="26" t="s">
        <v>74</v>
      </c>
      <c r="F375" s="27">
        <f>F376</f>
        <v>30</v>
      </c>
      <c r="G375" s="298"/>
      <c r="H375" s="28">
        <f>F375*G375</f>
        <v>0</v>
      </c>
      <c r="J375" s="120"/>
    </row>
    <row r="376" spans="1:10" s="118" customFormat="1" ht="15">
      <c r="A376" s="186"/>
      <c r="B376" s="29"/>
      <c r="C376" s="29"/>
      <c r="D376" s="29" t="s">
        <v>703</v>
      </c>
      <c r="E376" s="29"/>
      <c r="F376" s="122">
        <v>30</v>
      </c>
      <c r="G376" s="302"/>
      <c r="H376" s="119"/>
      <c r="I376" s="121"/>
      <c r="J376" s="141"/>
    </row>
    <row r="377" spans="1:10" s="118" customFormat="1" ht="13.8">
      <c r="A377" s="182">
        <v>163</v>
      </c>
      <c r="B377" s="26">
        <v>764</v>
      </c>
      <c r="C377" s="26">
        <v>764002841</v>
      </c>
      <c r="D377" s="26" t="s">
        <v>246</v>
      </c>
      <c r="E377" s="26" t="s">
        <v>74</v>
      </c>
      <c r="F377" s="27">
        <f>F378</f>
        <v>81.9</v>
      </c>
      <c r="G377" s="298"/>
      <c r="H377" s="28">
        <f>F377*G377</f>
        <v>0</v>
      </c>
      <c r="J377" s="120"/>
    </row>
    <row r="378" spans="1:10" s="118" customFormat="1" ht="15">
      <c r="A378" s="186"/>
      <c r="B378" s="29"/>
      <c r="C378" s="29"/>
      <c r="D378" s="29" t="s">
        <v>701</v>
      </c>
      <c r="E378" s="29"/>
      <c r="F378" s="122">
        <f>2*18.4+2*14.8+8+7.5</f>
        <v>81.9</v>
      </c>
      <c r="G378" s="302"/>
      <c r="H378" s="119"/>
      <c r="I378" s="121"/>
      <c r="J378" s="141"/>
    </row>
    <row r="379" spans="1:10" s="118" customFormat="1" ht="13.8">
      <c r="A379" s="182">
        <v>164</v>
      </c>
      <c r="B379" s="26">
        <v>764</v>
      </c>
      <c r="C379" s="26" t="s">
        <v>411</v>
      </c>
      <c r="D379" s="26" t="s">
        <v>412</v>
      </c>
      <c r="E379" s="26" t="s">
        <v>46</v>
      </c>
      <c r="F379" s="27">
        <f>F380</f>
        <v>1</v>
      </c>
      <c r="G379" s="298"/>
      <c r="H379" s="28">
        <f>F379*G379</f>
        <v>0</v>
      </c>
      <c r="J379" s="120"/>
    </row>
    <row r="380" spans="1:10" s="118" customFormat="1" ht="15">
      <c r="A380" s="186"/>
      <c r="B380" s="29"/>
      <c r="C380" s="29"/>
      <c r="D380" s="29" t="s">
        <v>413</v>
      </c>
      <c r="E380" s="29"/>
      <c r="F380" s="122">
        <v>1</v>
      </c>
      <c r="G380" s="302"/>
      <c r="H380" s="119"/>
      <c r="I380" s="121"/>
      <c r="J380" s="141"/>
    </row>
    <row r="381" spans="1:10" s="118" customFormat="1" ht="13.8">
      <c r="A381" s="182">
        <v>165</v>
      </c>
      <c r="B381" s="26">
        <v>764</v>
      </c>
      <c r="C381" s="26" t="s">
        <v>95</v>
      </c>
      <c r="D381" s="26" t="s">
        <v>519</v>
      </c>
      <c r="E381" s="26" t="s">
        <v>26</v>
      </c>
      <c r="F381" s="27">
        <f>F382</f>
        <v>2</v>
      </c>
      <c r="G381" s="298"/>
      <c r="H381" s="28">
        <f>F381*G381</f>
        <v>0</v>
      </c>
      <c r="J381" s="120"/>
    </row>
    <row r="382" spans="1:10" s="118" customFormat="1" ht="21.6">
      <c r="A382" s="186"/>
      <c r="B382" s="29"/>
      <c r="C382" s="29"/>
      <c r="D382" s="29" t="s">
        <v>518</v>
      </c>
      <c r="E382" s="29"/>
      <c r="F382" s="122">
        <v>2</v>
      </c>
      <c r="G382" s="302"/>
      <c r="H382" s="119"/>
      <c r="I382" s="121"/>
      <c r="J382" s="141"/>
    </row>
    <row r="383" spans="1:10" s="118" customFormat="1" ht="15">
      <c r="A383" s="186"/>
      <c r="B383" s="29"/>
      <c r="C383" s="29"/>
      <c r="D383" s="29" t="s">
        <v>96</v>
      </c>
      <c r="E383" s="29"/>
      <c r="F383" s="122"/>
      <c r="G383" s="302"/>
      <c r="H383" s="119"/>
      <c r="I383" s="121"/>
      <c r="J383" s="141"/>
    </row>
    <row r="384" spans="1:10" s="118" customFormat="1" ht="13.8">
      <c r="A384" s="182">
        <v>166</v>
      </c>
      <c r="B384" s="26">
        <v>764</v>
      </c>
      <c r="C384" s="26" t="s">
        <v>97</v>
      </c>
      <c r="D384" s="26" t="s">
        <v>520</v>
      </c>
      <c r="E384" s="26" t="s">
        <v>26</v>
      </c>
      <c r="F384" s="27">
        <f>F385</f>
        <v>2</v>
      </c>
      <c r="G384" s="298"/>
      <c r="H384" s="28">
        <f>F384*G384</f>
        <v>0</v>
      </c>
      <c r="J384" s="120"/>
    </row>
    <row r="385" spans="1:10" s="118" customFormat="1" ht="21.6">
      <c r="A385" s="186"/>
      <c r="B385" s="29"/>
      <c r="C385" s="29"/>
      <c r="D385" s="29" t="s">
        <v>518</v>
      </c>
      <c r="E385" s="29"/>
      <c r="F385" s="122">
        <v>2</v>
      </c>
      <c r="G385" s="302"/>
      <c r="H385" s="119"/>
      <c r="I385" s="121"/>
      <c r="J385" s="141"/>
    </row>
    <row r="386" spans="1:10" s="118" customFormat="1" ht="15">
      <c r="A386" s="186"/>
      <c r="B386" s="29"/>
      <c r="C386" s="29"/>
      <c r="D386" s="29" t="s">
        <v>96</v>
      </c>
      <c r="E386" s="29"/>
      <c r="F386" s="122"/>
      <c r="G386" s="302"/>
      <c r="H386" s="119"/>
      <c r="I386" s="121"/>
      <c r="J386" s="141"/>
    </row>
    <row r="387" spans="1:10" s="118" customFormat="1" ht="13.8">
      <c r="A387" s="182">
        <v>167</v>
      </c>
      <c r="B387" s="26">
        <v>764</v>
      </c>
      <c r="C387" s="26" t="s">
        <v>98</v>
      </c>
      <c r="D387" s="26" t="s">
        <v>521</v>
      </c>
      <c r="E387" s="26" t="s">
        <v>26</v>
      </c>
      <c r="F387" s="27">
        <f>F388</f>
        <v>6</v>
      </c>
      <c r="G387" s="298"/>
      <c r="H387" s="28">
        <f>F387*G387</f>
        <v>0</v>
      </c>
      <c r="J387" s="120"/>
    </row>
    <row r="388" spans="1:10" s="118" customFormat="1" ht="21.6">
      <c r="A388" s="186"/>
      <c r="B388" s="29"/>
      <c r="C388" s="29"/>
      <c r="D388" s="29" t="s">
        <v>518</v>
      </c>
      <c r="E388" s="29"/>
      <c r="F388" s="122">
        <v>6</v>
      </c>
      <c r="G388" s="302"/>
      <c r="H388" s="119"/>
      <c r="I388" s="121"/>
      <c r="J388" s="141"/>
    </row>
    <row r="389" spans="1:10" s="118" customFormat="1" ht="15">
      <c r="A389" s="186"/>
      <c r="B389" s="29"/>
      <c r="C389" s="29"/>
      <c r="D389" s="29" t="s">
        <v>96</v>
      </c>
      <c r="E389" s="29"/>
      <c r="F389" s="122"/>
      <c r="G389" s="302"/>
      <c r="H389" s="119"/>
      <c r="I389" s="121"/>
      <c r="J389" s="141"/>
    </row>
    <row r="390" spans="1:10" s="118" customFormat="1" ht="13.8">
      <c r="A390" s="182">
        <v>168</v>
      </c>
      <c r="B390" s="26">
        <v>764</v>
      </c>
      <c r="C390" s="26" t="s">
        <v>99</v>
      </c>
      <c r="D390" s="26" t="s">
        <v>522</v>
      </c>
      <c r="E390" s="26" t="s">
        <v>26</v>
      </c>
      <c r="F390" s="27">
        <f>F391</f>
        <v>2</v>
      </c>
      <c r="G390" s="298"/>
      <c r="H390" s="28">
        <f>F390*G390</f>
        <v>0</v>
      </c>
      <c r="J390" s="120"/>
    </row>
    <row r="391" spans="1:10" s="118" customFormat="1" ht="21.6">
      <c r="A391" s="186"/>
      <c r="B391" s="29"/>
      <c r="C391" s="29"/>
      <c r="D391" s="29" t="s">
        <v>518</v>
      </c>
      <c r="E391" s="29"/>
      <c r="F391" s="122">
        <v>2</v>
      </c>
      <c r="G391" s="302"/>
      <c r="H391" s="119"/>
      <c r="I391" s="121"/>
      <c r="J391" s="141"/>
    </row>
    <row r="392" spans="1:10" s="118" customFormat="1" ht="15">
      <c r="A392" s="186"/>
      <c r="B392" s="29"/>
      <c r="C392" s="29"/>
      <c r="D392" s="29" t="s">
        <v>96</v>
      </c>
      <c r="E392" s="29"/>
      <c r="F392" s="122"/>
      <c r="G392" s="302"/>
      <c r="H392" s="119"/>
      <c r="I392" s="121"/>
      <c r="J392" s="141"/>
    </row>
    <row r="393" spans="1:10" s="118" customFormat="1" ht="13.8">
      <c r="A393" s="182">
        <v>169</v>
      </c>
      <c r="B393" s="26">
        <v>764</v>
      </c>
      <c r="C393" s="26" t="s">
        <v>100</v>
      </c>
      <c r="D393" s="26" t="s">
        <v>523</v>
      </c>
      <c r="E393" s="26" t="s">
        <v>26</v>
      </c>
      <c r="F393" s="27">
        <f>F394</f>
        <v>2</v>
      </c>
      <c r="G393" s="298"/>
      <c r="H393" s="28">
        <f>F393*G393</f>
        <v>0</v>
      </c>
      <c r="J393" s="120"/>
    </row>
    <row r="394" spans="1:10" s="118" customFormat="1" ht="21.6">
      <c r="A394" s="186"/>
      <c r="B394" s="29"/>
      <c r="C394" s="29"/>
      <c r="D394" s="29" t="s">
        <v>518</v>
      </c>
      <c r="E394" s="29"/>
      <c r="F394" s="122">
        <v>2</v>
      </c>
      <c r="G394" s="302"/>
      <c r="H394" s="119"/>
      <c r="I394" s="121"/>
      <c r="J394" s="141"/>
    </row>
    <row r="395" spans="1:10" s="118" customFormat="1" ht="15">
      <c r="A395" s="186"/>
      <c r="B395" s="29"/>
      <c r="C395" s="29"/>
      <c r="D395" s="29" t="s">
        <v>96</v>
      </c>
      <c r="E395" s="29"/>
      <c r="F395" s="122"/>
      <c r="G395" s="302"/>
      <c r="H395" s="119"/>
      <c r="I395" s="121"/>
      <c r="J395" s="141"/>
    </row>
    <row r="396" spans="1:10" s="118" customFormat="1" ht="13.8">
      <c r="A396" s="182">
        <v>170</v>
      </c>
      <c r="B396" s="26">
        <v>764</v>
      </c>
      <c r="C396" s="26" t="s">
        <v>101</v>
      </c>
      <c r="D396" s="26" t="s">
        <v>524</v>
      </c>
      <c r="E396" s="26" t="s">
        <v>26</v>
      </c>
      <c r="F396" s="27">
        <f>F397</f>
        <v>1</v>
      </c>
      <c r="G396" s="298"/>
      <c r="H396" s="28">
        <f>F396*G396</f>
        <v>0</v>
      </c>
      <c r="J396" s="120"/>
    </row>
    <row r="397" spans="1:10" s="118" customFormat="1" ht="21.6">
      <c r="A397" s="186"/>
      <c r="B397" s="29"/>
      <c r="C397" s="29"/>
      <c r="D397" s="29" t="s">
        <v>518</v>
      </c>
      <c r="E397" s="29"/>
      <c r="F397" s="122">
        <v>1</v>
      </c>
      <c r="G397" s="302"/>
      <c r="H397" s="119"/>
      <c r="I397" s="121"/>
      <c r="J397" s="141"/>
    </row>
    <row r="398" spans="1:10" s="118" customFormat="1" ht="15">
      <c r="A398" s="186"/>
      <c r="B398" s="29"/>
      <c r="C398" s="29"/>
      <c r="D398" s="29" t="s">
        <v>96</v>
      </c>
      <c r="E398" s="29"/>
      <c r="F398" s="122"/>
      <c r="G398" s="302"/>
      <c r="H398" s="119"/>
      <c r="I398" s="121"/>
      <c r="J398" s="141"/>
    </row>
    <row r="399" spans="1:10" s="118" customFormat="1" ht="13.8">
      <c r="A399" s="182">
        <v>171</v>
      </c>
      <c r="B399" s="26">
        <v>764</v>
      </c>
      <c r="C399" s="26" t="s">
        <v>102</v>
      </c>
      <c r="D399" s="26" t="s">
        <v>525</v>
      </c>
      <c r="E399" s="26" t="s">
        <v>26</v>
      </c>
      <c r="F399" s="27">
        <f>F400</f>
        <v>2</v>
      </c>
      <c r="G399" s="298"/>
      <c r="H399" s="28">
        <f>F399*G399</f>
        <v>0</v>
      </c>
      <c r="J399" s="120"/>
    </row>
    <row r="400" spans="1:10" s="118" customFormat="1" ht="21.6">
      <c r="A400" s="186"/>
      <c r="B400" s="29"/>
      <c r="C400" s="29"/>
      <c r="D400" s="29" t="s">
        <v>518</v>
      </c>
      <c r="E400" s="29"/>
      <c r="F400" s="122">
        <v>2</v>
      </c>
      <c r="G400" s="302"/>
      <c r="H400" s="119"/>
      <c r="I400" s="121"/>
      <c r="J400" s="141"/>
    </row>
    <row r="401" spans="1:10" s="118" customFormat="1" ht="15">
      <c r="A401" s="186"/>
      <c r="B401" s="29"/>
      <c r="C401" s="29"/>
      <c r="D401" s="29" t="s">
        <v>96</v>
      </c>
      <c r="E401" s="29"/>
      <c r="F401" s="122"/>
      <c r="G401" s="302"/>
      <c r="H401" s="119"/>
      <c r="I401" s="121"/>
      <c r="J401" s="141"/>
    </row>
    <row r="402" spans="1:10" s="118" customFormat="1" ht="13.8">
      <c r="A402" s="182">
        <v>172</v>
      </c>
      <c r="B402" s="26">
        <v>764</v>
      </c>
      <c r="C402" s="26" t="s">
        <v>103</v>
      </c>
      <c r="D402" s="26" t="s">
        <v>526</v>
      </c>
      <c r="E402" s="26" t="s">
        <v>26</v>
      </c>
      <c r="F402" s="27">
        <f>F403</f>
        <v>1</v>
      </c>
      <c r="G402" s="298"/>
      <c r="H402" s="28">
        <f>F402*G402</f>
        <v>0</v>
      </c>
      <c r="J402" s="120"/>
    </row>
    <row r="403" spans="1:10" s="118" customFormat="1" ht="21.6">
      <c r="A403" s="186"/>
      <c r="B403" s="29"/>
      <c r="C403" s="29"/>
      <c r="D403" s="29" t="s">
        <v>518</v>
      </c>
      <c r="E403" s="29"/>
      <c r="F403" s="122">
        <v>1</v>
      </c>
      <c r="G403" s="302"/>
      <c r="H403" s="119"/>
      <c r="I403" s="121"/>
      <c r="J403" s="141"/>
    </row>
    <row r="404" spans="1:10" s="118" customFormat="1" ht="15">
      <c r="A404" s="186"/>
      <c r="B404" s="29"/>
      <c r="C404" s="29"/>
      <c r="D404" s="29" t="s">
        <v>96</v>
      </c>
      <c r="E404" s="29"/>
      <c r="F404" s="122"/>
      <c r="G404" s="302"/>
      <c r="H404" s="119"/>
      <c r="I404" s="121"/>
      <c r="J404" s="141"/>
    </row>
    <row r="405" spans="1:10" s="118" customFormat="1" ht="13.8">
      <c r="A405" s="182">
        <v>173</v>
      </c>
      <c r="B405" s="26">
        <v>764</v>
      </c>
      <c r="C405" s="26" t="s">
        <v>104</v>
      </c>
      <c r="D405" s="26" t="s">
        <v>527</v>
      </c>
      <c r="E405" s="26" t="s">
        <v>26</v>
      </c>
      <c r="F405" s="27">
        <f>F406</f>
        <v>2</v>
      </c>
      <c r="G405" s="298"/>
      <c r="H405" s="28">
        <f>F405*G405</f>
        <v>0</v>
      </c>
      <c r="J405" s="120"/>
    </row>
    <row r="406" spans="1:10" s="118" customFormat="1" ht="21.6">
      <c r="A406" s="186"/>
      <c r="B406" s="29"/>
      <c r="C406" s="29"/>
      <c r="D406" s="29" t="s">
        <v>528</v>
      </c>
      <c r="E406" s="29"/>
      <c r="F406" s="122">
        <v>2</v>
      </c>
      <c r="G406" s="302"/>
      <c r="H406" s="119"/>
      <c r="I406" s="121"/>
      <c r="J406" s="141"/>
    </row>
    <row r="407" spans="1:10" s="118" customFormat="1" ht="15">
      <c r="A407" s="186"/>
      <c r="B407" s="29"/>
      <c r="C407" s="29"/>
      <c r="D407" s="29" t="s">
        <v>96</v>
      </c>
      <c r="E407" s="29"/>
      <c r="F407" s="122"/>
      <c r="G407" s="302"/>
      <c r="H407" s="119"/>
      <c r="I407" s="121"/>
      <c r="J407" s="141"/>
    </row>
    <row r="408" spans="1:10" s="118" customFormat="1" ht="13.8">
      <c r="A408" s="182">
        <v>174</v>
      </c>
      <c r="B408" s="26">
        <v>764</v>
      </c>
      <c r="C408" s="26" t="s">
        <v>529</v>
      </c>
      <c r="D408" s="26" t="s">
        <v>549</v>
      </c>
      <c r="E408" s="26" t="s">
        <v>26</v>
      </c>
      <c r="F408" s="27">
        <f>F409</f>
        <v>3</v>
      </c>
      <c r="G408" s="298"/>
      <c r="H408" s="28">
        <f>F408*G408</f>
        <v>0</v>
      </c>
      <c r="J408" s="120"/>
    </row>
    <row r="409" spans="1:10" s="118" customFormat="1" ht="15">
      <c r="A409" s="186"/>
      <c r="B409" s="29"/>
      <c r="C409" s="29"/>
      <c r="D409" s="29" t="s">
        <v>530</v>
      </c>
      <c r="E409" s="29"/>
      <c r="F409" s="122">
        <v>3</v>
      </c>
      <c r="G409" s="302"/>
      <c r="H409" s="119"/>
      <c r="I409" s="121"/>
      <c r="J409" s="141"/>
    </row>
    <row r="410" spans="1:10" s="118" customFormat="1" ht="15">
      <c r="A410" s="186"/>
      <c r="B410" s="29"/>
      <c r="C410" s="29"/>
      <c r="D410" s="29" t="s">
        <v>96</v>
      </c>
      <c r="E410" s="29"/>
      <c r="F410" s="122"/>
      <c r="G410" s="302"/>
      <c r="H410" s="119"/>
      <c r="I410" s="121"/>
      <c r="J410" s="141"/>
    </row>
    <row r="411" spans="1:10" s="118" customFormat="1" ht="13.8">
      <c r="A411" s="182">
        <v>175</v>
      </c>
      <c r="B411" s="26">
        <v>764</v>
      </c>
      <c r="C411" s="26" t="s">
        <v>531</v>
      </c>
      <c r="D411" s="26" t="s">
        <v>548</v>
      </c>
      <c r="E411" s="26" t="s">
        <v>74</v>
      </c>
      <c r="F411" s="27">
        <f>F412</f>
        <v>12</v>
      </c>
      <c r="G411" s="298"/>
      <c r="H411" s="28">
        <f>F411*G411</f>
        <v>0</v>
      </c>
      <c r="J411" s="120"/>
    </row>
    <row r="412" spans="1:10" s="118" customFormat="1" ht="21.6">
      <c r="A412" s="186"/>
      <c r="B412" s="29"/>
      <c r="C412" s="29"/>
      <c r="D412" s="29" t="s">
        <v>534</v>
      </c>
      <c r="E412" s="29"/>
      <c r="F412" s="122">
        <v>12</v>
      </c>
      <c r="G412" s="302"/>
      <c r="H412" s="119"/>
      <c r="I412" s="121"/>
      <c r="J412" s="141"/>
    </row>
    <row r="413" spans="1:10" s="118" customFormat="1" ht="15">
      <c r="A413" s="186"/>
      <c r="B413" s="29"/>
      <c r="C413" s="29"/>
      <c r="D413" s="29" t="s">
        <v>96</v>
      </c>
      <c r="E413" s="29"/>
      <c r="F413" s="122"/>
      <c r="G413" s="302"/>
      <c r="H413" s="119"/>
      <c r="I413" s="121"/>
      <c r="J413" s="141"/>
    </row>
    <row r="414" spans="1:10" s="118" customFormat="1" ht="13.8">
      <c r="A414" s="182">
        <v>176</v>
      </c>
      <c r="B414" s="26">
        <v>764</v>
      </c>
      <c r="C414" s="26" t="s">
        <v>532</v>
      </c>
      <c r="D414" s="26" t="s">
        <v>547</v>
      </c>
      <c r="E414" s="26" t="s">
        <v>26</v>
      </c>
      <c r="F414" s="27">
        <f>F415</f>
        <v>3</v>
      </c>
      <c r="G414" s="298"/>
      <c r="H414" s="28">
        <f>F414*G414</f>
        <v>0</v>
      </c>
      <c r="J414" s="120"/>
    </row>
    <row r="415" spans="1:10" s="118" customFormat="1" ht="15">
      <c r="A415" s="186"/>
      <c r="B415" s="29"/>
      <c r="C415" s="29"/>
      <c r="D415" s="29" t="s">
        <v>533</v>
      </c>
      <c r="E415" s="29"/>
      <c r="F415" s="122">
        <v>3</v>
      </c>
      <c r="G415" s="302"/>
      <c r="H415" s="119"/>
      <c r="I415" s="121"/>
      <c r="J415" s="141"/>
    </row>
    <row r="416" spans="1:10" s="118" customFormat="1" ht="15">
      <c r="A416" s="186"/>
      <c r="B416" s="29"/>
      <c r="C416" s="29"/>
      <c r="D416" s="29" t="s">
        <v>96</v>
      </c>
      <c r="E416" s="29"/>
      <c r="F416" s="122"/>
      <c r="G416" s="302"/>
      <c r="H416" s="119"/>
      <c r="I416" s="121"/>
      <c r="J416" s="141"/>
    </row>
    <row r="417" spans="1:10" s="118" customFormat="1" ht="13.8">
      <c r="A417" s="182">
        <v>177</v>
      </c>
      <c r="B417" s="26">
        <v>764</v>
      </c>
      <c r="C417" s="26" t="s">
        <v>535</v>
      </c>
      <c r="D417" s="26" t="s">
        <v>536</v>
      </c>
      <c r="E417" s="26" t="s">
        <v>74</v>
      </c>
      <c r="F417" s="27">
        <f>F418</f>
        <v>92.6</v>
      </c>
      <c r="G417" s="298"/>
      <c r="H417" s="28">
        <f>F417*G417</f>
        <v>0</v>
      </c>
      <c r="J417" s="120"/>
    </row>
    <row r="418" spans="1:10" s="118" customFormat="1" ht="15">
      <c r="A418" s="186"/>
      <c r="B418" s="29"/>
      <c r="C418" s="29"/>
      <c r="D418" s="29" t="s">
        <v>189</v>
      </c>
      <c r="E418" s="29"/>
      <c r="F418" s="122">
        <v>92.6</v>
      </c>
      <c r="G418" s="302"/>
      <c r="H418" s="119"/>
      <c r="I418" s="121"/>
      <c r="J418" s="141"/>
    </row>
    <row r="419" spans="1:10" s="118" customFormat="1" ht="15">
      <c r="A419" s="186"/>
      <c r="B419" s="29"/>
      <c r="C419" s="29"/>
      <c r="D419" s="29" t="s">
        <v>96</v>
      </c>
      <c r="E419" s="29"/>
      <c r="F419" s="122"/>
      <c r="G419" s="302"/>
      <c r="H419" s="119"/>
      <c r="I419" s="121"/>
      <c r="J419" s="141"/>
    </row>
    <row r="420" spans="1:10" s="118" customFormat="1" ht="13.8">
      <c r="A420" s="182">
        <v>178</v>
      </c>
      <c r="B420" s="26">
        <v>764</v>
      </c>
      <c r="C420" s="26" t="s">
        <v>537</v>
      </c>
      <c r="D420" s="26" t="s">
        <v>538</v>
      </c>
      <c r="E420" s="26" t="s">
        <v>74</v>
      </c>
      <c r="F420" s="27">
        <f>F421</f>
        <v>98.3</v>
      </c>
      <c r="G420" s="298"/>
      <c r="H420" s="28">
        <f>F420*G420</f>
        <v>0</v>
      </c>
      <c r="J420" s="120"/>
    </row>
    <row r="421" spans="1:10" s="118" customFormat="1" ht="15">
      <c r="A421" s="186"/>
      <c r="B421" s="29"/>
      <c r="C421" s="29"/>
      <c r="D421" s="29" t="s">
        <v>189</v>
      </c>
      <c r="E421" s="29"/>
      <c r="F421" s="122">
        <v>98.3</v>
      </c>
      <c r="G421" s="302"/>
      <c r="H421" s="119"/>
      <c r="I421" s="121"/>
      <c r="J421" s="141"/>
    </row>
    <row r="422" spans="1:10" s="118" customFormat="1" ht="15">
      <c r="A422" s="186"/>
      <c r="B422" s="29"/>
      <c r="C422" s="29"/>
      <c r="D422" s="29" t="s">
        <v>96</v>
      </c>
      <c r="E422" s="29"/>
      <c r="F422" s="122"/>
      <c r="G422" s="302"/>
      <c r="H422" s="119"/>
      <c r="I422" s="121"/>
      <c r="J422" s="141"/>
    </row>
    <row r="423" spans="1:10" s="118" customFormat="1" ht="13.8">
      <c r="A423" s="182">
        <v>179</v>
      </c>
      <c r="B423" s="26">
        <v>764</v>
      </c>
      <c r="C423" s="26" t="s">
        <v>539</v>
      </c>
      <c r="D423" s="26" t="s">
        <v>540</v>
      </c>
      <c r="E423" s="26" t="s">
        <v>74</v>
      </c>
      <c r="F423" s="27">
        <f>F424</f>
        <v>118</v>
      </c>
      <c r="G423" s="298"/>
      <c r="H423" s="28">
        <f>F423*G423</f>
        <v>0</v>
      </c>
      <c r="J423" s="120"/>
    </row>
    <row r="424" spans="1:10" s="118" customFormat="1" ht="15">
      <c r="A424" s="186"/>
      <c r="B424" s="29"/>
      <c r="C424" s="29"/>
      <c r="D424" s="29" t="s">
        <v>189</v>
      </c>
      <c r="E424" s="29"/>
      <c r="F424" s="122">
        <v>118</v>
      </c>
      <c r="G424" s="302"/>
      <c r="H424" s="119"/>
      <c r="I424" s="121"/>
      <c r="J424" s="141"/>
    </row>
    <row r="425" spans="1:10" s="118" customFormat="1" ht="15">
      <c r="A425" s="186"/>
      <c r="B425" s="29"/>
      <c r="C425" s="29"/>
      <c r="D425" s="29" t="s">
        <v>96</v>
      </c>
      <c r="E425" s="29"/>
      <c r="F425" s="122"/>
      <c r="G425" s="302"/>
      <c r="H425" s="119"/>
      <c r="I425" s="121"/>
      <c r="J425" s="141"/>
    </row>
    <row r="426" spans="1:10" s="118" customFormat="1" ht="13.8">
      <c r="A426" s="182">
        <v>180</v>
      </c>
      <c r="B426" s="26">
        <v>764</v>
      </c>
      <c r="C426" s="26" t="s">
        <v>541</v>
      </c>
      <c r="D426" s="26" t="s">
        <v>542</v>
      </c>
      <c r="E426" s="26" t="s">
        <v>74</v>
      </c>
      <c r="F426" s="27">
        <f>F427</f>
        <v>10.1</v>
      </c>
      <c r="G426" s="298"/>
      <c r="H426" s="28">
        <f>F426*G426</f>
        <v>0</v>
      </c>
      <c r="J426" s="120"/>
    </row>
    <row r="427" spans="1:10" s="118" customFormat="1" ht="15">
      <c r="A427" s="186"/>
      <c r="B427" s="29"/>
      <c r="C427" s="29"/>
      <c r="D427" s="29" t="s">
        <v>190</v>
      </c>
      <c r="E427" s="29"/>
      <c r="F427" s="122">
        <v>10.1</v>
      </c>
      <c r="G427" s="302"/>
      <c r="H427" s="119"/>
      <c r="I427" s="121"/>
      <c r="J427" s="141"/>
    </row>
    <row r="428" spans="1:10" s="118" customFormat="1" ht="15">
      <c r="A428" s="186"/>
      <c r="B428" s="29"/>
      <c r="C428" s="29"/>
      <c r="D428" s="29" t="s">
        <v>96</v>
      </c>
      <c r="E428" s="29"/>
      <c r="F428" s="122"/>
      <c r="G428" s="302"/>
      <c r="H428" s="119"/>
      <c r="I428" s="121"/>
      <c r="J428" s="141"/>
    </row>
    <row r="429" spans="1:10" s="118" customFormat="1" ht="13.8">
      <c r="A429" s="182">
        <v>181</v>
      </c>
      <c r="B429" s="26">
        <v>764</v>
      </c>
      <c r="C429" s="26" t="s">
        <v>543</v>
      </c>
      <c r="D429" s="26" t="s">
        <v>546</v>
      </c>
      <c r="E429" s="26" t="s">
        <v>544</v>
      </c>
      <c r="F429" s="27">
        <f>F430</f>
        <v>3</v>
      </c>
      <c r="G429" s="298"/>
      <c r="H429" s="28">
        <f>F429*G429</f>
        <v>0</v>
      </c>
      <c r="J429" s="120"/>
    </row>
    <row r="430" spans="1:10" s="118" customFormat="1" ht="15">
      <c r="A430" s="186"/>
      <c r="B430" s="29"/>
      <c r="C430" s="29"/>
      <c r="D430" s="29" t="s">
        <v>545</v>
      </c>
      <c r="E430" s="29"/>
      <c r="F430" s="122">
        <v>3</v>
      </c>
      <c r="G430" s="302"/>
      <c r="H430" s="119"/>
      <c r="I430" s="121"/>
      <c r="J430" s="141"/>
    </row>
    <row r="431" spans="1:10" s="118" customFormat="1" ht="15">
      <c r="A431" s="186"/>
      <c r="B431" s="29"/>
      <c r="C431" s="29"/>
      <c r="D431" s="29" t="s">
        <v>96</v>
      </c>
      <c r="E431" s="29"/>
      <c r="F431" s="122"/>
      <c r="G431" s="302"/>
      <c r="H431" s="119"/>
      <c r="I431" s="121"/>
      <c r="J431" s="141"/>
    </row>
    <row r="432" spans="1:10" s="118" customFormat="1" ht="13.8">
      <c r="A432" s="182">
        <v>182</v>
      </c>
      <c r="B432" s="26">
        <v>764</v>
      </c>
      <c r="C432" s="26" t="s">
        <v>550</v>
      </c>
      <c r="D432" s="26" t="s">
        <v>551</v>
      </c>
      <c r="E432" s="26" t="s">
        <v>544</v>
      </c>
      <c r="F432" s="27">
        <f>F433</f>
        <v>1</v>
      </c>
      <c r="G432" s="298"/>
      <c r="H432" s="28">
        <f>F432*G432</f>
        <v>0</v>
      </c>
      <c r="J432" s="120"/>
    </row>
    <row r="433" spans="1:10" s="118" customFormat="1" ht="15">
      <c r="A433" s="186"/>
      <c r="B433" s="29"/>
      <c r="C433" s="29"/>
      <c r="D433" s="29" t="s">
        <v>545</v>
      </c>
      <c r="E433" s="29"/>
      <c r="F433" s="122">
        <v>1</v>
      </c>
      <c r="G433" s="302"/>
      <c r="H433" s="119"/>
      <c r="I433" s="121"/>
      <c r="J433" s="141"/>
    </row>
    <row r="434" spans="1:10" s="118" customFormat="1" ht="15">
      <c r="A434" s="186"/>
      <c r="B434" s="29"/>
      <c r="C434" s="29"/>
      <c r="D434" s="29" t="s">
        <v>96</v>
      </c>
      <c r="E434" s="29"/>
      <c r="F434" s="122"/>
      <c r="G434" s="302"/>
      <c r="H434" s="119"/>
      <c r="I434" s="121"/>
      <c r="J434" s="141"/>
    </row>
    <row r="435" spans="1:10" s="118" customFormat="1" ht="13.8">
      <c r="A435" s="182">
        <v>183</v>
      </c>
      <c r="B435" s="26">
        <v>764</v>
      </c>
      <c r="C435" s="26" t="s">
        <v>552</v>
      </c>
      <c r="D435" s="26" t="s">
        <v>553</v>
      </c>
      <c r="E435" s="26" t="s">
        <v>544</v>
      </c>
      <c r="F435" s="27">
        <f>F436</f>
        <v>1</v>
      </c>
      <c r="G435" s="298"/>
      <c r="H435" s="28">
        <f>F435*G435</f>
        <v>0</v>
      </c>
      <c r="J435" s="120"/>
    </row>
    <row r="436" spans="1:10" s="118" customFormat="1" ht="15">
      <c r="A436" s="186"/>
      <c r="B436" s="29"/>
      <c r="C436" s="29"/>
      <c r="D436" s="29" t="s">
        <v>545</v>
      </c>
      <c r="E436" s="29"/>
      <c r="F436" s="122">
        <v>1</v>
      </c>
      <c r="G436" s="302"/>
      <c r="H436" s="119"/>
      <c r="I436" s="121"/>
      <c r="J436" s="141"/>
    </row>
    <row r="437" spans="1:10" s="118" customFormat="1" ht="15">
      <c r="A437" s="186"/>
      <c r="B437" s="29"/>
      <c r="C437" s="29"/>
      <c r="D437" s="29" t="s">
        <v>96</v>
      </c>
      <c r="E437" s="29"/>
      <c r="F437" s="122"/>
      <c r="G437" s="302"/>
      <c r="H437" s="119"/>
      <c r="I437" s="121"/>
      <c r="J437" s="141"/>
    </row>
    <row r="438" spans="1:10" s="118" customFormat="1" ht="13.8">
      <c r="A438" s="182">
        <v>184</v>
      </c>
      <c r="B438" s="26">
        <v>998</v>
      </c>
      <c r="C438" s="26">
        <v>998764202</v>
      </c>
      <c r="D438" s="26" t="s">
        <v>875</v>
      </c>
      <c r="E438" s="26" t="s">
        <v>21</v>
      </c>
      <c r="F438" s="27">
        <v>1.56</v>
      </c>
      <c r="G438" s="298"/>
      <c r="H438" s="28">
        <f>F438*G438</f>
        <v>0</v>
      </c>
      <c r="J438" s="120"/>
    </row>
    <row r="439" spans="1:10" s="118" customFormat="1" ht="13.8">
      <c r="A439" s="182">
        <v>185</v>
      </c>
      <c r="B439" s="26">
        <v>999</v>
      </c>
      <c r="C439" s="26" t="s">
        <v>84</v>
      </c>
      <c r="D439" s="26" t="s">
        <v>85</v>
      </c>
      <c r="E439" s="26" t="s">
        <v>46</v>
      </c>
      <c r="F439" s="27">
        <v>1</v>
      </c>
      <c r="G439" s="298"/>
      <c r="H439" s="28">
        <f>F439*G439</f>
        <v>0</v>
      </c>
      <c r="J439" s="120"/>
    </row>
    <row r="440" spans="1:10" s="118" customFormat="1" ht="15">
      <c r="A440" s="186"/>
      <c r="B440" s="29"/>
      <c r="C440" s="29"/>
      <c r="D440" s="29" t="s">
        <v>81</v>
      </c>
      <c r="E440" s="29"/>
      <c r="F440" s="122">
        <v>1</v>
      </c>
      <c r="G440" s="302"/>
      <c r="H440" s="119"/>
      <c r="I440" s="121"/>
      <c r="J440" s="141"/>
    </row>
    <row r="441" spans="1:8" ht="15">
      <c r="A441" s="183"/>
      <c r="B441" s="15"/>
      <c r="C441" s="15">
        <v>765</v>
      </c>
      <c r="D441" s="15" t="s">
        <v>692</v>
      </c>
      <c r="E441" s="15"/>
      <c r="F441" s="16"/>
      <c r="G441" s="299"/>
      <c r="H441" s="17">
        <f>SUM(H442:H443)</f>
        <v>0</v>
      </c>
    </row>
    <row r="442" spans="1:10" s="118" customFormat="1" ht="13.8">
      <c r="A442" s="182">
        <v>186</v>
      </c>
      <c r="B442" s="26">
        <v>765</v>
      </c>
      <c r="C442" s="26">
        <v>765192811</v>
      </c>
      <c r="D442" s="26" t="s">
        <v>691</v>
      </c>
      <c r="E442" s="26" t="s">
        <v>26</v>
      </c>
      <c r="F442" s="27">
        <f>F443</f>
        <v>1</v>
      </c>
      <c r="G442" s="298"/>
      <c r="H442" s="28">
        <f>F442*G442</f>
        <v>0</v>
      </c>
      <c r="J442" s="120"/>
    </row>
    <row r="443" spans="1:10" s="118" customFormat="1" ht="15">
      <c r="A443" s="186"/>
      <c r="B443" s="29"/>
      <c r="C443" s="29"/>
      <c r="D443" s="29" t="s">
        <v>693</v>
      </c>
      <c r="E443" s="29"/>
      <c r="F443" s="122">
        <v>1</v>
      </c>
      <c r="G443" s="302"/>
      <c r="H443" s="119"/>
      <c r="I443" s="121"/>
      <c r="J443" s="141"/>
    </row>
    <row r="444" spans="1:8" ht="15">
      <c r="A444" s="183"/>
      <c r="B444" s="15"/>
      <c r="C444" s="15">
        <v>766</v>
      </c>
      <c r="D444" s="15" t="s">
        <v>65</v>
      </c>
      <c r="E444" s="15"/>
      <c r="F444" s="16"/>
      <c r="G444" s="299"/>
      <c r="H444" s="17">
        <f>SUM(H445:H579)</f>
        <v>0</v>
      </c>
    </row>
    <row r="445" spans="1:10" s="118" customFormat="1" ht="13.8">
      <c r="A445" s="182">
        <v>187</v>
      </c>
      <c r="B445" s="26">
        <v>766</v>
      </c>
      <c r="C445" s="26">
        <v>766211811</v>
      </c>
      <c r="D445" s="26" t="s">
        <v>554</v>
      </c>
      <c r="E445" s="26" t="s">
        <v>74</v>
      </c>
      <c r="F445" s="27">
        <f>F446</f>
        <v>30.1</v>
      </c>
      <c r="G445" s="298"/>
      <c r="H445" s="28">
        <f>F445*G445</f>
        <v>0</v>
      </c>
      <c r="J445" s="120"/>
    </row>
    <row r="446" spans="1:10" s="118" customFormat="1" ht="21.6">
      <c r="A446" s="186"/>
      <c r="B446" s="29"/>
      <c r="C446" s="29"/>
      <c r="D446" s="29" t="s">
        <v>555</v>
      </c>
      <c r="E446" s="29"/>
      <c r="F446" s="122">
        <v>30.1</v>
      </c>
      <c r="G446" s="302"/>
      <c r="H446" s="119"/>
      <c r="I446" s="121"/>
      <c r="J446" s="141"/>
    </row>
    <row r="447" spans="1:10" s="118" customFormat="1" ht="13.8">
      <c r="A447" s="182">
        <v>188</v>
      </c>
      <c r="B447" s="26">
        <v>766</v>
      </c>
      <c r="C447" s="26">
        <v>766411821</v>
      </c>
      <c r="D447" s="26" t="s">
        <v>668</v>
      </c>
      <c r="E447" s="26" t="s">
        <v>18</v>
      </c>
      <c r="F447" s="27">
        <f>F448</f>
        <v>90.96</v>
      </c>
      <c r="G447" s="298"/>
      <c r="H447" s="28">
        <f>F447*G447</f>
        <v>0</v>
      </c>
      <c r="J447" s="120"/>
    </row>
    <row r="448" spans="1:10" s="118" customFormat="1" ht="21.6">
      <c r="A448" s="186"/>
      <c r="B448" s="29"/>
      <c r="C448" s="29"/>
      <c r="D448" s="29" t="s">
        <v>669</v>
      </c>
      <c r="E448" s="29"/>
      <c r="F448" s="122">
        <f>3*(6.12+0.7+4.9+4.8+6.6+0.7+0.7+2+0.6+0.7+2.5)</f>
        <v>90.96</v>
      </c>
      <c r="G448" s="302"/>
      <c r="H448" s="119"/>
      <c r="I448" s="121"/>
      <c r="J448" s="141"/>
    </row>
    <row r="449" spans="1:10" s="118" customFormat="1" ht="13.8">
      <c r="A449" s="182">
        <v>189</v>
      </c>
      <c r="B449" s="26">
        <v>766</v>
      </c>
      <c r="C449" s="26">
        <v>766441825</v>
      </c>
      <c r="D449" s="26" t="s">
        <v>450</v>
      </c>
      <c r="E449" s="26" t="s">
        <v>74</v>
      </c>
      <c r="F449" s="27">
        <f>F450</f>
        <v>96</v>
      </c>
      <c r="G449" s="298"/>
      <c r="H449" s="28">
        <f>F449*G449</f>
        <v>0</v>
      </c>
      <c r="J449" s="120"/>
    </row>
    <row r="450" spans="1:10" s="118" customFormat="1" ht="21.6">
      <c r="A450" s="186"/>
      <c r="B450" s="29"/>
      <c r="C450" s="29"/>
      <c r="D450" s="29" t="s">
        <v>451</v>
      </c>
      <c r="E450" s="29"/>
      <c r="F450" s="122">
        <f>2*48</f>
        <v>96</v>
      </c>
      <c r="G450" s="302"/>
      <c r="H450" s="119"/>
      <c r="I450" s="121"/>
      <c r="J450" s="141"/>
    </row>
    <row r="451" spans="1:10" s="118" customFormat="1" ht="13.8">
      <c r="A451" s="182">
        <v>190</v>
      </c>
      <c r="B451" s="26">
        <v>766</v>
      </c>
      <c r="C451" s="26" t="s">
        <v>66</v>
      </c>
      <c r="D451" s="26" t="s">
        <v>556</v>
      </c>
      <c r="E451" s="26" t="s">
        <v>26</v>
      </c>
      <c r="F451" s="27">
        <f>F452</f>
        <v>2</v>
      </c>
      <c r="G451" s="298"/>
      <c r="H451" s="28">
        <f>F451*G451</f>
        <v>0</v>
      </c>
      <c r="J451" s="120"/>
    </row>
    <row r="452" spans="1:10" s="118" customFormat="1" ht="31.8">
      <c r="A452" s="186"/>
      <c r="B452" s="29"/>
      <c r="C452" s="29"/>
      <c r="D452" s="29" t="s">
        <v>557</v>
      </c>
      <c r="E452" s="29"/>
      <c r="F452" s="122">
        <v>2</v>
      </c>
      <c r="G452" s="302"/>
      <c r="H452" s="119"/>
      <c r="I452" s="121"/>
      <c r="J452" s="141"/>
    </row>
    <row r="453" spans="1:10" s="118" customFormat="1" ht="21.6">
      <c r="A453" s="186"/>
      <c r="B453" s="29"/>
      <c r="C453" s="29"/>
      <c r="D453" s="29" t="s">
        <v>558</v>
      </c>
      <c r="E453" s="29"/>
      <c r="F453" s="122"/>
      <c r="G453" s="302"/>
      <c r="H453" s="119"/>
      <c r="I453" s="121"/>
      <c r="J453" s="141"/>
    </row>
    <row r="454" spans="1:10" s="118" customFormat="1" ht="13.8">
      <c r="A454" s="182">
        <v>191</v>
      </c>
      <c r="B454" s="26">
        <v>766</v>
      </c>
      <c r="C454" s="26" t="s">
        <v>67</v>
      </c>
      <c r="D454" s="26" t="s">
        <v>559</v>
      </c>
      <c r="E454" s="26" t="s">
        <v>26</v>
      </c>
      <c r="F454" s="27">
        <f>F455</f>
        <v>2</v>
      </c>
      <c r="G454" s="298"/>
      <c r="H454" s="28">
        <f>F454*G454</f>
        <v>0</v>
      </c>
      <c r="J454" s="120"/>
    </row>
    <row r="455" spans="1:10" s="118" customFormat="1" ht="31.8">
      <c r="A455" s="186"/>
      <c r="B455" s="29"/>
      <c r="C455" s="29"/>
      <c r="D455" s="29" t="s">
        <v>557</v>
      </c>
      <c r="E455" s="29"/>
      <c r="F455" s="122">
        <v>2</v>
      </c>
      <c r="G455" s="302"/>
      <c r="H455" s="119"/>
      <c r="I455" s="121"/>
      <c r="J455" s="141"/>
    </row>
    <row r="456" spans="1:10" s="118" customFormat="1" ht="21.6">
      <c r="A456" s="186"/>
      <c r="B456" s="29"/>
      <c r="C456" s="29"/>
      <c r="D456" s="29" t="s">
        <v>558</v>
      </c>
      <c r="E456" s="29"/>
      <c r="F456" s="122"/>
      <c r="G456" s="302"/>
      <c r="H456" s="119"/>
      <c r="I456" s="121"/>
      <c r="J456" s="141"/>
    </row>
    <row r="457" spans="1:10" s="118" customFormat="1" ht="13.8">
      <c r="A457" s="182">
        <v>192</v>
      </c>
      <c r="B457" s="26">
        <v>766</v>
      </c>
      <c r="C457" s="26" t="s">
        <v>68</v>
      </c>
      <c r="D457" s="26" t="s">
        <v>560</v>
      </c>
      <c r="E457" s="26" t="s">
        <v>26</v>
      </c>
      <c r="F457" s="27">
        <f>F458</f>
        <v>2</v>
      </c>
      <c r="G457" s="298"/>
      <c r="H457" s="28">
        <f>F457*G457</f>
        <v>0</v>
      </c>
      <c r="J457" s="120"/>
    </row>
    <row r="458" spans="1:10" s="118" customFormat="1" ht="31.8">
      <c r="A458" s="186"/>
      <c r="B458" s="29"/>
      <c r="C458" s="29"/>
      <c r="D458" s="29" t="s">
        <v>557</v>
      </c>
      <c r="E458" s="29"/>
      <c r="F458" s="122">
        <v>2</v>
      </c>
      <c r="G458" s="302"/>
      <c r="H458" s="119"/>
      <c r="I458" s="121"/>
      <c r="J458" s="141"/>
    </row>
    <row r="459" spans="1:10" s="118" customFormat="1" ht="21.6">
      <c r="A459" s="186"/>
      <c r="B459" s="29"/>
      <c r="C459" s="29"/>
      <c r="D459" s="29" t="s">
        <v>558</v>
      </c>
      <c r="E459" s="29"/>
      <c r="F459" s="122"/>
      <c r="G459" s="302"/>
      <c r="H459" s="119"/>
      <c r="I459" s="121"/>
      <c r="J459" s="141"/>
    </row>
    <row r="460" spans="1:10" s="118" customFormat="1" ht="13.8">
      <c r="A460" s="182">
        <v>193</v>
      </c>
      <c r="B460" s="26">
        <v>766</v>
      </c>
      <c r="C460" s="26" t="s">
        <v>69</v>
      </c>
      <c r="D460" s="26" t="s">
        <v>561</v>
      </c>
      <c r="E460" s="26" t="s">
        <v>26</v>
      </c>
      <c r="F460" s="27">
        <f>F461</f>
        <v>2</v>
      </c>
      <c r="G460" s="298"/>
      <c r="H460" s="28">
        <f>F460*G460</f>
        <v>0</v>
      </c>
      <c r="J460" s="120"/>
    </row>
    <row r="461" spans="1:10" s="118" customFormat="1" ht="31.8">
      <c r="A461" s="186"/>
      <c r="B461" s="29"/>
      <c r="C461" s="29"/>
      <c r="D461" s="29" t="s">
        <v>557</v>
      </c>
      <c r="E461" s="29"/>
      <c r="F461" s="122">
        <v>2</v>
      </c>
      <c r="G461" s="302"/>
      <c r="H461" s="119"/>
      <c r="I461" s="121"/>
      <c r="J461" s="141"/>
    </row>
    <row r="462" spans="1:10" s="118" customFormat="1" ht="21.6">
      <c r="A462" s="186"/>
      <c r="B462" s="29"/>
      <c r="C462" s="29"/>
      <c r="D462" s="29" t="s">
        <v>558</v>
      </c>
      <c r="E462" s="29"/>
      <c r="F462" s="122"/>
      <c r="G462" s="302"/>
      <c r="H462" s="119"/>
      <c r="I462" s="121"/>
      <c r="J462" s="141"/>
    </row>
    <row r="463" spans="1:10" s="118" customFormat="1" ht="13.8">
      <c r="A463" s="182">
        <v>194</v>
      </c>
      <c r="B463" s="26">
        <v>766</v>
      </c>
      <c r="C463" s="26" t="s">
        <v>90</v>
      </c>
      <c r="D463" s="26" t="s">
        <v>562</v>
      </c>
      <c r="E463" s="26" t="s">
        <v>26</v>
      </c>
      <c r="F463" s="27">
        <f>F464</f>
        <v>2</v>
      </c>
      <c r="G463" s="298"/>
      <c r="H463" s="28">
        <f>F463*G463</f>
        <v>0</v>
      </c>
      <c r="J463" s="120"/>
    </row>
    <row r="464" spans="1:10" s="118" customFormat="1" ht="31.8">
      <c r="A464" s="186"/>
      <c r="B464" s="29"/>
      <c r="C464" s="29"/>
      <c r="D464" s="29" t="s">
        <v>557</v>
      </c>
      <c r="E464" s="29"/>
      <c r="F464" s="122">
        <v>2</v>
      </c>
      <c r="G464" s="302"/>
      <c r="H464" s="119"/>
      <c r="I464" s="121"/>
      <c r="J464" s="141"/>
    </row>
    <row r="465" spans="1:10" s="118" customFormat="1" ht="21.6">
      <c r="A465" s="186"/>
      <c r="B465" s="29"/>
      <c r="C465" s="29"/>
      <c r="D465" s="29" t="s">
        <v>558</v>
      </c>
      <c r="E465" s="29"/>
      <c r="F465" s="122"/>
      <c r="G465" s="302"/>
      <c r="H465" s="119"/>
      <c r="I465" s="121"/>
      <c r="J465" s="141"/>
    </row>
    <row r="466" spans="1:10" s="118" customFormat="1" ht="21">
      <c r="A466" s="182">
        <v>195</v>
      </c>
      <c r="B466" s="26">
        <v>766</v>
      </c>
      <c r="C466" s="26" t="s">
        <v>70</v>
      </c>
      <c r="D466" s="26" t="s">
        <v>564</v>
      </c>
      <c r="E466" s="26" t="s">
        <v>26</v>
      </c>
      <c r="F466" s="27">
        <f>F467</f>
        <v>2</v>
      </c>
      <c r="G466" s="298"/>
      <c r="H466" s="28">
        <f>F466*G466</f>
        <v>0</v>
      </c>
      <c r="J466" s="120"/>
    </row>
    <row r="467" spans="1:10" s="118" customFormat="1" ht="31.8">
      <c r="A467" s="186"/>
      <c r="B467" s="29"/>
      <c r="C467" s="29"/>
      <c r="D467" s="29" t="s">
        <v>563</v>
      </c>
      <c r="E467" s="29"/>
      <c r="F467" s="122">
        <v>2</v>
      </c>
      <c r="G467" s="302"/>
      <c r="H467" s="119"/>
      <c r="I467" s="121"/>
      <c r="J467" s="141"/>
    </row>
    <row r="468" spans="1:10" s="118" customFormat="1" ht="21.6">
      <c r="A468" s="186"/>
      <c r="B468" s="29"/>
      <c r="C468" s="29"/>
      <c r="D468" s="29" t="s">
        <v>558</v>
      </c>
      <c r="E468" s="29"/>
      <c r="F468" s="122"/>
      <c r="G468" s="302"/>
      <c r="H468" s="119"/>
      <c r="I468" s="121"/>
      <c r="J468" s="141"/>
    </row>
    <row r="469" spans="1:10" s="118" customFormat="1" ht="13.8">
      <c r="A469" s="182">
        <v>196</v>
      </c>
      <c r="B469" s="26">
        <v>766</v>
      </c>
      <c r="C469" s="26" t="s">
        <v>71</v>
      </c>
      <c r="D469" s="26" t="s">
        <v>565</v>
      </c>
      <c r="E469" s="26" t="s">
        <v>26</v>
      </c>
      <c r="F469" s="27">
        <f>F470</f>
        <v>2</v>
      </c>
      <c r="G469" s="298"/>
      <c r="H469" s="28">
        <f>F469*G469</f>
        <v>0</v>
      </c>
      <c r="J469" s="120"/>
    </row>
    <row r="470" spans="1:10" s="118" customFormat="1" ht="31.8">
      <c r="A470" s="186"/>
      <c r="B470" s="29"/>
      <c r="C470" s="29"/>
      <c r="D470" s="29" t="s">
        <v>566</v>
      </c>
      <c r="E470" s="29"/>
      <c r="F470" s="122">
        <v>2</v>
      </c>
      <c r="G470" s="302"/>
      <c r="H470" s="119"/>
      <c r="I470" s="121"/>
      <c r="J470" s="141"/>
    </row>
    <row r="471" spans="1:10" s="118" customFormat="1" ht="21.6">
      <c r="A471" s="186"/>
      <c r="B471" s="29"/>
      <c r="C471" s="29"/>
      <c r="D471" s="29" t="s">
        <v>558</v>
      </c>
      <c r="E471" s="29"/>
      <c r="F471" s="122"/>
      <c r="G471" s="302"/>
      <c r="H471" s="119"/>
      <c r="I471" s="121"/>
      <c r="J471" s="141"/>
    </row>
    <row r="472" spans="1:10" s="118" customFormat="1" ht="13.8">
      <c r="A472" s="182">
        <v>197</v>
      </c>
      <c r="B472" s="26">
        <v>766</v>
      </c>
      <c r="C472" s="26" t="s">
        <v>72</v>
      </c>
      <c r="D472" s="26" t="s">
        <v>567</v>
      </c>
      <c r="E472" s="26" t="s">
        <v>26</v>
      </c>
      <c r="F472" s="27">
        <f>F473</f>
        <v>1</v>
      </c>
      <c r="G472" s="298"/>
      <c r="H472" s="28">
        <f>F472*G472</f>
        <v>0</v>
      </c>
      <c r="J472" s="120"/>
    </row>
    <row r="473" spans="1:10" s="118" customFormat="1" ht="31.8">
      <c r="A473" s="186"/>
      <c r="B473" s="29"/>
      <c r="C473" s="29"/>
      <c r="D473" s="29" t="s">
        <v>566</v>
      </c>
      <c r="E473" s="29"/>
      <c r="F473" s="122">
        <v>1</v>
      </c>
      <c r="G473" s="302"/>
      <c r="H473" s="119"/>
      <c r="I473" s="121"/>
      <c r="J473" s="141"/>
    </row>
    <row r="474" spans="1:10" s="118" customFormat="1" ht="21.6">
      <c r="A474" s="186"/>
      <c r="B474" s="29"/>
      <c r="C474" s="29"/>
      <c r="D474" s="29" t="s">
        <v>558</v>
      </c>
      <c r="E474" s="29"/>
      <c r="F474" s="122"/>
      <c r="G474" s="302"/>
      <c r="H474" s="119"/>
      <c r="I474" s="121"/>
      <c r="J474" s="141"/>
    </row>
    <row r="475" spans="1:10" s="118" customFormat="1" ht="13.8">
      <c r="A475" s="182">
        <v>198</v>
      </c>
      <c r="B475" s="26">
        <v>766</v>
      </c>
      <c r="C475" s="26" t="s">
        <v>73</v>
      </c>
      <c r="D475" s="26" t="s">
        <v>568</v>
      </c>
      <c r="E475" s="26" t="s">
        <v>26</v>
      </c>
      <c r="F475" s="27">
        <f>F476</f>
        <v>1</v>
      </c>
      <c r="G475" s="298"/>
      <c r="H475" s="28">
        <f>F475*G475</f>
        <v>0</v>
      </c>
      <c r="J475" s="120"/>
    </row>
    <row r="476" spans="1:10" s="118" customFormat="1" ht="31.8">
      <c r="A476" s="186"/>
      <c r="B476" s="29"/>
      <c r="C476" s="29"/>
      <c r="D476" s="29" t="s">
        <v>563</v>
      </c>
      <c r="E476" s="29"/>
      <c r="F476" s="122">
        <v>1</v>
      </c>
      <c r="G476" s="302"/>
      <c r="H476" s="119"/>
      <c r="I476" s="121"/>
      <c r="J476" s="141"/>
    </row>
    <row r="477" spans="1:10" s="118" customFormat="1" ht="21.6">
      <c r="A477" s="186"/>
      <c r="B477" s="29"/>
      <c r="C477" s="29"/>
      <c r="D477" s="29" t="s">
        <v>558</v>
      </c>
      <c r="E477" s="29"/>
      <c r="F477" s="122"/>
      <c r="G477" s="302"/>
      <c r="H477" s="119"/>
      <c r="I477" s="121"/>
      <c r="J477" s="141"/>
    </row>
    <row r="478" spans="1:10" s="118" customFormat="1" ht="13.8">
      <c r="A478" s="182">
        <v>199</v>
      </c>
      <c r="B478" s="26">
        <v>766</v>
      </c>
      <c r="C478" s="26" t="s">
        <v>218</v>
      </c>
      <c r="D478" s="26" t="s">
        <v>569</v>
      </c>
      <c r="E478" s="26" t="s">
        <v>26</v>
      </c>
      <c r="F478" s="27">
        <f>F479</f>
        <v>1</v>
      </c>
      <c r="G478" s="298"/>
      <c r="H478" s="28">
        <f>F478*G478</f>
        <v>0</v>
      </c>
      <c r="J478" s="120"/>
    </row>
    <row r="479" spans="1:10" s="118" customFormat="1" ht="31.8">
      <c r="A479" s="186"/>
      <c r="B479" s="29"/>
      <c r="C479" s="29"/>
      <c r="D479" s="29" t="s">
        <v>563</v>
      </c>
      <c r="E479" s="29"/>
      <c r="F479" s="122">
        <v>1</v>
      </c>
      <c r="G479" s="302"/>
      <c r="H479" s="119"/>
      <c r="I479" s="121"/>
      <c r="J479" s="141"/>
    </row>
    <row r="480" spans="1:10" s="118" customFormat="1" ht="21.6">
      <c r="A480" s="186"/>
      <c r="B480" s="29"/>
      <c r="C480" s="29"/>
      <c r="D480" s="29" t="s">
        <v>558</v>
      </c>
      <c r="E480" s="29"/>
      <c r="F480" s="122"/>
      <c r="G480" s="302"/>
      <c r="H480" s="119"/>
      <c r="I480" s="121"/>
      <c r="J480" s="141"/>
    </row>
    <row r="481" spans="1:10" s="118" customFormat="1" ht="13.8">
      <c r="A481" s="182">
        <v>200</v>
      </c>
      <c r="B481" s="26">
        <v>766</v>
      </c>
      <c r="C481" s="26" t="s">
        <v>219</v>
      </c>
      <c r="D481" s="26" t="s">
        <v>570</v>
      </c>
      <c r="E481" s="26" t="s">
        <v>26</v>
      </c>
      <c r="F481" s="27">
        <f>F482</f>
        <v>1</v>
      </c>
      <c r="G481" s="298"/>
      <c r="H481" s="28">
        <f>F481*G481</f>
        <v>0</v>
      </c>
      <c r="J481" s="120"/>
    </row>
    <row r="482" spans="1:10" s="118" customFormat="1" ht="21.6">
      <c r="A482" s="186"/>
      <c r="B482" s="29"/>
      <c r="C482" s="29"/>
      <c r="D482" s="29" t="s">
        <v>571</v>
      </c>
      <c r="E482" s="29"/>
      <c r="F482" s="122">
        <v>1</v>
      </c>
      <c r="G482" s="302"/>
      <c r="H482" s="119"/>
      <c r="I482" s="121"/>
      <c r="J482" s="141"/>
    </row>
    <row r="483" spans="1:10" s="118" customFormat="1" ht="15">
      <c r="A483" s="186"/>
      <c r="B483" s="29"/>
      <c r="C483" s="29"/>
      <c r="D483" s="29" t="s">
        <v>572</v>
      </c>
      <c r="E483" s="29"/>
      <c r="F483" s="122"/>
      <c r="G483" s="302"/>
      <c r="H483" s="119"/>
      <c r="I483" s="121"/>
      <c r="J483" s="141"/>
    </row>
    <row r="484" spans="1:10" s="118" customFormat="1" ht="13.8">
      <c r="A484" s="182">
        <v>201</v>
      </c>
      <c r="B484" s="26">
        <v>766</v>
      </c>
      <c r="C484" s="26" t="s">
        <v>220</v>
      </c>
      <c r="D484" s="26" t="s">
        <v>573</v>
      </c>
      <c r="E484" s="26" t="s">
        <v>26</v>
      </c>
      <c r="F484" s="27">
        <f>F485</f>
        <v>4</v>
      </c>
      <c r="G484" s="298"/>
      <c r="H484" s="28">
        <f>F484*G484</f>
        <v>0</v>
      </c>
      <c r="J484" s="120"/>
    </row>
    <row r="485" spans="1:10" s="118" customFormat="1" ht="21.6">
      <c r="A485" s="186"/>
      <c r="B485" s="29"/>
      <c r="C485" s="29"/>
      <c r="D485" s="29" t="s">
        <v>571</v>
      </c>
      <c r="E485" s="29"/>
      <c r="F485" s="122">
        <v>4</v>
      </c>
      <c r="G485" s="302"/>
      <c r="H485" s="119"/>
      <c r="I485" s="121"/>
      <c r="J485" s="141"/>
    </row>
    <row r="486" spans="1:10" s="118" customFormat="1" ht="15">
      <c r="A486" s="186"/>
      <c r="B486" s="29"/>
      <c r="C486" s="29"/>
      <c r="D486" s="29" t="s">
        <v>572</v>
      </c>
      <c r="E486" s="29"/>
      <c r="F486" s="122"/>
      <c r="G486" s="302"/>
      <c r="H486" s="119"/>
      <c r="I486" s="121"/>
      <c r="J486" s="141"/>
    </row>
    <row r="487" spans="1:10" s="118" customFormat="1" ht="13.8">
      <c r="A487" s="182">
        <v>202</v>
      </c>
      <c r="B487" s="26">
        <v>766</v>
      </c>
      <c r="C487" s="26" t="s">
        <v>432</v>
      </c>
      <c r="D487" s="26" t="s">
        <v>574</v>
      </c>
      <c r="E487" s="26" t="s">
        <v>26</v>
      </c>
      <c r="F487" s="27">
        <f>F488</f>
        <v>1</v>
      </c>
      <c r="G487" s="298"/>
      <c r="H487" s="28">
        <f>F487*G487</f>
        <v>0</v>
      </c>
      <c r="J487" s="120"/>
    </row>
    <row r="488" spans="1:10" s="118" customFormat="1" ht="21.6">
      <c r="A488" s="186"/>
      <c r="B488" s="29"/>
      <c r="C488" s="29"/>
      <c r="D488" s="29" t="s">
        <v>571</v>
      </c>
      <c r="E488" s="29"/>
      <c r="F488" s="122">
        <v>1</v>
      </c>
      <c r="G488" s="302"/>
      <c r="H488" s="119"/>
      <c r="I488" s="121"/>
      <c r="J488" s="141"/>
    </row>
    <row r="489" spans="1:10" s="118" customFormat="1" ht="15">
      <c r="A489" s="186"/>
      <c r="B489" s="29"/>
      <c r="C489" s="29"/>
      <c r="D489" s="29" t="s">
        <v>572</v>
      </c>
      <c r="E489" s="29"/>
      <c r="F489" s="122"/>
      <c r="G489" s="302"/>
      <c r="H489" s="119"/>
      <c r="I489" s="121"/>
      <c r="J489" s="141"/>
    </row>
    <row r="490" spans="1:10" s="118" customFormat="1" ht="13.8">
      <c r="A490" s="182">
        <v>203</v>
      </c>
      <c r="B490" s="26">
        <v>766</v>
      </c>
      <c r="C490" s="26" t="s">
        <v>433</v>
      </c>
      <c r="D490" s="26" t="s">
        <v>575</v>
      </c>
      <c r="E490" s="26" t="s">
        <v>26</v>
      </c>
      <c r="F490" s="27">
        <f>F491</f>
        <v>1</v>
      </c>
      <c r="G490" s="298"/>
      <c r="H490" s="28">
        <f>F490*G490</f>
        <v>0</v>
      </c>
      <c r="J490" s="120"/>
    </row>
    <row r="491" spans="1:10" s="118" customFormat="1" ht="21.6">
      <c r="A491" s="186"/>
      <c r="B491" s="29"/>
      <c r="C491" s="29"/>
      <c r="D491" s="29" t="s">
        <v>571</v>
      </c>
      <c r="E491" s="29"/>
      <c r="F491" s="122">
        <v>1</v>
      </c>
      <c r="G491" s="302"/>
      <c r="H491" s="119"/>
      <c r="I491" s="121"/>
      <c r="J491" s="141"/>
    </row>
    <row r="492" spans="1:10" s="118" customFormat="1" ht="15">
      <c r="A492" s="186"/>
      <c r="B492" s="29"/>
      <c r="C492" s="29"/>
      <c r="D492" s="29" t="s">
        <v>572</v>
      </c>
      <c r="E492" s="29"/>
      <c r="F492" s="122"/>
      <c r="G492" s="302"/>
      <c r="H492" s="119"/>
      <c r="I492" s="121"/>
      <c r="J492" s="141"/>
    </row>
    <row r="493" spans="1:10" s="118" customFormat="1" ht="13.8">
      <c r="A493" s="182">
        <v>204</v>
      </c>
      <c r="B493" s="26">
        <v>766</v>
      </c>
      <c r="C493" s="26" t="s">
        <v>576</v>
      </c>
      <c r="D493" s="26" t="s">
        <v>577</v>
      </c>
      <c r="E493" s="26" t="s">
        <v>26</v>
      </c>
      <c r="F493" s="27">
        <f>F494</f>
        <v>1</v>
      </c>
      <c r="G493" s="298"/>
      <c r="H493" s="28">
        <f>F493*G493</f>
        <v>0</v>
      </c>
      <c r="J493" s="120"/>
    </row>
    <row r="494" spans="1:10" s="118" customFormat="1" ht="21.6">
      <c r="A494" s="186"/>
      <c r="B494" s="29"/>
      <c r="C494" s="29"/>
      <c r="D494" s="29" t="s">
        <v>578</v>
      </c>
      <c r="E494" s="29"/>
      <c r="F494" s="122">
        <v>1</v>
      </c>
      <c r="G494" s="302"/>
      <c r="H494" s="119"/>
      <c r="I494" s="121"/>
      <c r="J494" s="141"/>
    </row>
    <row r="495" spans="1:10" s="118" customFormat="1" ht="15">
      <c r="A495" s="186"/>
      <c r="B495" s="29"/>
      <c r="C495" s="29"/>
      <c r="D495" s="29" t="s">
        <v>572</v>
      </c>
      <c r="E495" s="29"/>
      <c r="F495" s="122"/>
      <c r="G495" s="302"/>
      <c r="H495" s="119"/>
      <c r="I495" s="121"/>
      <c r="J495" s="141"/>
    </row>
    <row r="496" spans="1:10" s="118" customFormat="1" ht="21">
      <c r="A496" s="182">
        <v>205</v>
      </c>
      <c r="B496" s="26">
        <v>766</v>
      </c>
      <c r="C496" s="26" t="s">
        <v>221</v>
      </c>
      <c r="D496" s="26" t="s">
        <v>579</v>
      </c>
      <c r="E496" s="26" t="s">
        <v>26</v>
      </c>
      <c r="F496" s="27">
        <f>F497</f>
        <v>35</v>
      </c>
      <c r="G496" s="298"/>
      <c r="H496" s="28">
        <f>F496*G496</f>
        <v>0</v>
      </c>
      <c r="J496" s="120"/>
    </row>
    <row r="497" spans="1:10" s="118" customFormat="1" ht="31.8">
      <c r="A497" s="186"/>
      <c r="B497" s="29"/>
      <c r="C497" s="29"/>
      <c r="D497" s="29" t="s">
        <v>587</v>
      </c>
      <c r="E497" s="29"/>
      <c r="F497" s="122">
        <v>35</v>
      </c>
      <c r="G497" s="302"/>
      <c r="H497" s="119"/>
      <c r="I497" s="121"/>
      <c r="J497" s="141"/>
    </row>
    <row r="498" spans="1:10" s="118" customFormat="1" ht="21.6">
      <c r="A498" s="186"/>
      <c r="B498" s="29"/>
      <c r="C498" s="29"/>
      <c r="D498" s="29" t="s">
        <v>223</v>
      </c>
      <c r="E498" s="29"/>
      <c r="F498" s="122"/>
      <c r="G498" s="302"/>
      <c r="H498" s="119"/>
      <c r="I498" s="121"/>
      <c r="J498" s="141"/>
    </row>
    <row r="499" spans="1:10" s="118" customFormat="1" ht="21">
      <c r="A499" s="182">
        <v>206</v>
      </c>
      <c r="B499" s="26">
        <v>766</v>
      </c>
      <c r="C499" s="26" t="s">
        <v>224</v>
      </c>
      <c r="D499" s="26" t="s">
        <v>580</v>
      </c>
      <c r="E499" s="26" t="s">
        <v>26</v>
      </c>
      <c r="F499" s="27">
        <f>F500</f>
        <v>4</v>
      </c>
      <c r="G499" s="298"/>
      <c r="H499" s="28">
        <f>F499*G499</f>
        <v>0</v>
      </c>
      <c r="J499" s="120"/>
    </row>
    <row r="500" spans="1:10" s="118" customFormat="1" ht="31.8">
      <c r="A500" s="186"/>
      <c r="B500" s="29"/>
      <c r="C500" s="29"/>
      <c r="D500" s="29" t="s">
        <v>587</v>
      </c>
      <c r="E500" s="29"/>
      <c r="F500" s="122">
        <v>4</v>
      </c>
      <c r="G500" s="302"/>
      <c r="H500" s="119"/>
      <c r="I500" s="121"/>
      <c r="J500" s="141"/>
    </row>
    <row r="501" spans="1:10" s="118" customFormat="1" ht="21.6">
      <c r="A501" s="186"/>
      <c r="B501" s="29"/>
      <c r="C501" s="29"/>
      <c r="D501" s="29" t="s">
        <v>223</v>
      </c>
      <c r="E501" s="29"/>
      <c r="F501" s="122"/>
      <c r="G501" s="302"/>
      <c r="H501" s="119"/>
      <c r="I501" s="121"/>
      <c r="J501" s="141"/>
    </row>
    <row r="502" spans="1:10" s="118" customFormat="1" ht="21">
      <c r="A502" s="182">
        <v>207</v>
      </c>
      <c r="B502" s="26">
        <v>766</v>
      </c>
      <c r="C502" s="26" t="s">
        <v>225</v>
      </c>
      <c r="D502" s="26" t="s">
        <v>581</v>
      </c>
      <c r="E502" s="26" t="s">
        <v>26</v>
      </c>
      <c r="F502" s="27">
        <f>F503</f>
        <v>8</v>
      </c>
      <c r="G502" s="298"/>
      <c r="H502" s="28">
        <f>F502*G502</f>
        <v>0</v>
      </c>
      <c r="J502" s="120"/>
    </row>
    <row r="503" spans="1:10" s="118" customFormat="1" ht="31.8">
      <c r="A503" s="186"/>
      <c r="B503" s="29"/>
      <c r="C503" s="29"/>
      <c r="D503" s="29" t="s">
        <v>588</v>
      </c>
      <c r="E503" s="29"/>
      <c r="F503" s="122">
        <v>8</v>
      </c>
      <c r="G503" s="302"/>
      <c r="H503" s="119"/>
      <c r="I503" s="121"/>
      <c r="J503" s="141"/>
    </row>
    <row r="504" spans="1:10" s="118" customFormat="1" ht="21.6">
      <c r="A504" s="186"/>
      <c r="B504" s="29"/>
      <c r="C504" s="29"/>
      <c r="D504" s="29" t="s">
        <v>223</v>
      </c>
      <c r="E504" s="29"/>
      <c r="F504" s="122"/>
      <c r="G504" s="302"/>
      <c r="H504" s="119"/>
      <c r="I504" s="121"/>
      <c r="J504" s="141"/>
    </row>
    <row r="505" spans="1:10" s="118" customFormat="1" ht="25.05" customHeight="1">
      <c r="A505" s="182">
        <v>208</v>
      </c>
      <c r="B505" s="26">
        <v>766</v>
      </c>
      <c r="C505" s="26" t="s">
        <v>226</v>
      </c>
      <c r="D505" s="26" t="s">
        <v>583</v>
      </c>
      <c r="E505" s="26" t="s">
        <v>26</v>
      </c>
      <c r="F505" s="27">
        <f>F506</f>
        <v>2</v>
      </c>
      <c r="G505" s="298"/>
      <c r="H505" s="28">
        <f>F505*G505</f>
        <v>0</v>
      </c>
      <c r="J505" s="120"/>
    </row>
    <row r="506" spans="1:10" s="118" customFormat="1" ht="31.8">
      <c r="A506" s="186"/>
      <c r="B506" s="29"/>
      <c r="C506" s="29"/>
      <c r="D506" s="29" t="s">
        <v>582</v>
      </c>
      <c r="E506" s="29"/>
      <c r="F506" s="122">
        <v>2</v>
      </c>
      <c r="G506" s="302"/>
      <c r="H506" s="119"/>
      <c r="I506" s="121"/>
      <c r="J506" s="141"/>
    </row>
    <row r="507" spans="1:10" s="118" customFormat="1" ht="21.6">
      <c r="A507" s="186"/>
      <c r="B507" s="29"/>
      <c r="C507" s="29"/>
      <c r="D507" s="29" t="s">
        <v>223</v>
      </c>
      <c r="E507" s="29"/>
      <c r="F507" s="122"/>
      <c r="G507" s="302"/>
      <c r="H507" s="119"/>
      <c r="I507" s="121"/>
      <c r="J507" s="141"/>
    </row>
    <row r="508" spans="1:10" s="118" customFormat="1" ht="21">
      <c r="A508" s="182">
        <v>209</v>
      </c>
      <c r="B508" s="26">
        <v>766</v>
      </c>
      <c r="C508" s="26" t="s">
        <v>227</v>
      </c>
      <c r="D508" s="26" t="s">
        <v>584</v>
      </c>
      <c r="E508" s="26" t="s">
        <v>26</v>
      </c>
      <c r="F508" s="27">
        <f>F509</f>
        <v>5</v>
      </c>
      <c r="G508" s="298"/>
      <c r="H508" s="28">
        <f>F508*G508</f>
        <v>0</v>
      </c>
      <c r="J508" s="120"/>
    </row>
    <row r="509" spans="1:10" s="118" customFormat="1" ht="31.8">
      <c r="A509" s="186"/>
      <c r="B509" s="29"/>
      <c r="C509" s="29"/>
      <c r="D509" s="29" t="s">
        <v>222</v>
      </c>
      <c r="E509" s="29"/>
      <c r="F509" s="122">
        <v>5</v>
      </c>
      <c r="G509" s="302"/>
      <c r="H509" s="119"/>
      <c r="I509" s="121"/>
      <c r="J509" s="141"/>
    </row>
    <row r="510" spans="1:10" s="118" customFormat="1" ht="21.6">
      <c r="A510" s="186"/>
      <c r="B510" s="29"/>
      <c r="C510" s="29"/>
      <c r="D510" s="29" t="s">
        <v>223</v>
      </c>
      <c r="E510" s="29"/>
      <c r="F510" s="122"/>
      <c r="G510" s="302"/>
      <c r="H510" s="119"/>
      <c r="I510" s="121"/>
      <c r="J510" s="141"/>
    </row>
    <row r="511" spans="1:10" s="118" customFormat="1" ht="21">
      <c r="A511" s="182">
        <v>210</v>
      </c>
      <c r="B511" s="26">
        <v>766</v>
      </c>
      <c r="C511" s="26" t="s">
        <v>228</v>
      </c>
      <c r="D511" s="26" t="s">
        <v>585</v>
      </c>
      <c r="E511" s="26" t="s">
        <v>26</v>
      </c>
      <c r="F511" s="27">
        <f>F512</f>
        <v>6</v>
      </c>
      <c r="G511" s="298"/>
      <c r="H511" s="28">
        <f>F511*G511</f>
        <v>0</v>
      </c>
      <c r="J511" s="120"/>
    </row>
    <row r="512" spans="1:10" s="118" customFormat="1" ht="31.8">
      <c r="A512" s="186"/>
      <c r="B512" s="29"/>
      <c r="C512" s="29"/>
      <c r="D512" s="29" t="s">
        <v>588</v>
      </c>
      <c r="E512" s="29"/>
      <c r="F512" s="122">
        <v>6</v>
      </c>
      <c r="G512" s="302"/>
      <c r="H512" s="119"/>
      <c r="I512" s="121"/>
      <c r="J512" s="141"/>
    </row>
    <row r="513" spans="1:10" s="118" customFormat="1" ht="21.6">
      <c r="A513" s="186"/>
      <c r="B513" s="29"/>
      <c r="C513" s="29"/>
      <c r="D513" s="29" t="s">
        <v>223</v>
      </c>
      <c r="E513" s="29"/>
      <c r="F513" s="122"/>
      <c r="G513" s="302"/>
      <c r="H513" s="119"/>
      <c r="I513" s="121"/>
      <c r="J513" s="141"/>
    </row>
    <row r="514" spans="1:10" s="118" customFormat="1" ht="21">
      <c r="A514" s="182">
        <v>211</v>
      </c>
      <c r="B514" s="26">
        <v>766</v>
      </c>
      <c r="C514" s="26" t="s">
        <v>229</v>
      </c>
      <c r="D514" s="26" t="s">
        <v>586</v>
      </c>
      <c r="E514" s="26" t="s">
        <v>26</v>
      </c>
      <c r="F514" s="27">
        <f>F515</f>
        <v>1</v>
      </c>
      <c r="G514" s="298"/>
      <c r="H514" s="28">
        <f>F514*G514</f>
        <v>0</v>
      </c>
      <c r="J514" s="120"/>
    </row>
    <row r="515" spans="1:10" s="118" customFormat="1" ht="31.8">
      <c r="A515" s="186"/>
      <c r="B515" s="29"/>
      <c r="C515" s="29"/>
      <c r="D515" s="29" t="s">
        <v>587</v>
      </c>
      <c r="E515" s="29"/>
      <c r="F515" s="122">
        <v>1</v>
      </c>
      <c r="G515" s="302"/>
      <c r="H515" s="119"/>
      <c r="I515" s="121"/>
      <c r="J515" s="141"/>
    </row>
    <row r="516" spans="1:10" s="118" customFormat="1" ht="21.6">
      <c r="A516" s="186"/>
      <c r="B516" s="29"/>
      <c r="C516" s="29"/>
      <c r="D516" s="29" t="s">
        <v>223</v>
      </c>
      <c r="E516" s="29"/>
      <c r="F516" s="122"/>
      <c r="G516" s="302"/>
      <c r="H516" s="119"/>
      <c r="I516" s="121"/>
      <c r="J516" s="141"/>
    </row>
    <row r="517" spans="1:10" s="118" customFormat="1" ht="21">
      <c r="A517" s="182">
        <v>212</v>
      </c>
      <c r="B517" s="26">
        <v>766</v>
      </c>
      <c r="C517" s="26" t="s">
        <v>589</v>
      </c>
      <c r="D517" s="26" t="s">
        <v>590</v>
      </c>
      <c r="E517" s="26" t="s">
        <v>26</v>
      </c>
      <c r="F517" s="27">
        <f>F518</f>
        <v>1</v>
      </c>
      <c r="G517" s="298"/>
      <c r="H517" s="28">
        <f>F517*G517</f>
        <v>0</v>
      </c>
      <c r="J517" s="120"/>
    </row>
    <row r="518" spans="1:10" s="118" customFormat="1" ht="46.95" customHeight="1">
      <c r="A518" s="186"/>
      <c r="B518" s="29"/>
      <c r="C518" s="29"/>
      <c r="D518" s="29" t="s">
        <v>591</v>
      </c>
      <c r="E518" s="29"/>
      <c r="F518" s="122">
        <v>1</v>
      </c>
      <c r="G518" s="302"/>
      <c r="H518" s="119"/>
      <c r="I518" s="121"/>
      <c r="J518" s="141"/>
    </row>
    <row r="519" spans="1:10" s="118" customFormat="1" ht="21.6">
      <c r="A519" s="186"/>
      <c r="B519" s="29"/>
      <c r="C519" s="29"/>
      <c r="D519" s="29" t="s">
        <v>223</v>
      </c>
      <c r="E519" s="29"/>
      <c r="F519" s="122"/>
      <c r="G519" s="302"/>
      <c r="H519" s="119"/>
      <c r="I519" s="121"/>
      <c r="J519" s="141"/>
    </row>
    <row r="520" spans="1:10" s="118" customFormat="1" ht="13.8">
      <c r="A520" s="182">
        <v>213</v>
      </c>
      <c r="B520" s="26">
        <v>766</v>
      </c>
      <c r="C520" s="26" t="s">
        <v>592</v>
      </c>
      <c r="D520" s="26" t="s">
        <v>593</v>
      </c>
      <c r="E520" s="26" t="s">
        <v>26</v>
      </c>
      <c r="F520" s="27">
        <f>F521</f>
        <v>2</v>
      </c>
      <c r="G520" s="298"/>
      <c r="H520" s="28">
        <f>F520*G520</f>
        <v>0</v>
      </c>
      <c r="J520" s="120"/>
    </row>
    <row r="521" spans="1:10" s="118" customFormat="1" ht="25.05" customHeight="1">
      <c r="A521" s="186"/>
      <c r="B521" s="29"/>
      <c r="C521" s="29"/>
      <c r="D521" s="29" t="s">
        <v>594</v>
      </c>
      <c r="E521" s="29"/>
      <c r="F521" s="122">
        <v>2</v>
      </c>
      <c r="G521" s="302"/>
      <c r="H521" s="119"/>
      <c r="I521" s="121"/>
      <c r="J521" s="141"/>
    </row>
    <row r="522" spans="1:10" s="118" customFormat="1" ht="21.6">
      <c r="A522" s="186"/>
      <c r="B522" s="29"/>
      <c r="C522" s="29"/>
      <c r="D522" s="29" t="s">
        <v>223</v>
      </c>
      <c r="E522" s="29"/>
      <c r="F522" s="122"/>
      <c r="G522" s="302"/>
      <c r="H522" s="119"/>
      <c r="I522" s="121"/>
      <c r="J522" s="141"/>
    </row>
    <row r="523" spans="1:10" s="118" customFormat="1" ht="24" customHeight="1">
      <c r="A523" s="182">
        <v>214</v>
      </c>
      <c r="B523" s="26">
        <v>766</v>
      </c>
      <c r="C523" s="26" t="s">
        <v>230</v>
      </c>
      <c r="D523" s="26" t="s">
        <v>596</v>
      </c>
      <c r="E523" s="26" t="s">
        <v>26</v>
      </c>
      <c r="F523" s="27">
        <f>F524</f>
        <v>1</v>
      </c>
      <c r="G523" s="298"/>
      <c r="H523" s="28">
        <f>F523*G523</f>
        <v>0</v>
      </c>
      <c r="J523" s="120"/>
    </row>
    <row r="524" spans="1:10" s="118" customFormat="1" ht="72.6">
      <c r="A524" s="186"/>
      <c r="B524" s="29"/>
      <c r="C524" s="29"/>
      <c r="D524" s="29" t="s">
        <v>595</v>
      </c>
      <c r="E524" s="29"/>
      <c r="F524" s="122">
        <v>1</v>
      </c>
      <c r="G524" s="302"/>
      <c r="H524" s="119"/>
      <c r="I524" s="121"/>
      <c r="J524" s="141"/>
    </row>
    <row r="525" spans="1:10" s="118" customFormat="1" ht="21.6">
      <c r="A525" s="186"/>
      <c r="B525" s="29"/>
      <c r="C525" s="29"/>
      <c r="D525" s="29" t="s">
        <v>223</v>
      </c>
      <c r="E525" s="29"/>
      <c r="F525" s="122"/>
      <c r="G525" s="302"/>
      <c r="H525" s="119"/>
      <c r="I525" s="121"/>
      <c r="J525" s="141"/>
    </row>
    <row r="526" spans="1:10" s="118" customFormat="1" ht="21">
      <c r="A526" s="182">
        <v>215</v>
      </c>
      <c r="B526" s="26">
        <v>766</v>
      </c>
      <c r="C526" s="26" t="s">
        <v>231</v>
      </c>
      <c r="D526" s="26" t="s">
        <v>597</v>
      </c>
      <c r="E526" s="26" t="s">
        <v>26</v>
      </c>
      <c r="F526" s="27">
        <f>F527</f>
        <v>2</v>
      </c>
      <c r="G526" s="298"/>
      <c r="H526" s="28">
        <f>F526*G526</f>
        <v>0</v>
      </c>
      <c r="J526" s="120"/>
    </row>
    <row r="527" spans="1:10" s="118" customFormat="1" ht="52.2">
      <c r="A527" s="186"/>
      <c r="B527" s="29"/>
      <c r="C527" s="29"/>
      <c r="D527" s="29" t="s">
        <v>598</v>
      </c>
      <c r="E527" s="29"/>
      <c r="F527" s="122">
        <v>2</v>
      </c>
      <c r="G527" s="302"/>
      <c r="H527" s="119"/>
      <c r="I527" s="121"/>
      <c r="J527" s="141"/>
    </row>
    <row r="528" spans="1:10" s="118" customFormat="1" ht="21.6">
      <c r="A528" s="186"/>
      <c r="B528" s="29"/>
      <c r="C528" s="29"/>
      <c r="D528" s="29" t="s">
        <v>223</v>
      </c>
      <c r="E528" s="29"/>
      <c r="F528" s="122"/>
      <c r="G528" s="302"/>
      <c r="H528" s="119"/>
      <c r="I528" s="121"/>
      <c r="J528" s="141"/>
    </row>
    <row r="529" spans="1:10" s="118" customFormat="1" ht="13.8">
      <c r="A529" s="182">
        <v>216</v>
      </c>
      <c r="B529" s="26">
        <v>766</v>
      </c>
      <c r="C529" s="26" t="s">
        <v>232</v>
      </c>
      <c r="D529" s="26" t="s">
        <v>599</v>
      </c>
      <c r="E529" s="26" t="s">
        <v>26</v>
      </c>
      <c r="F529" s="27">
        <f>F530</f>
        <v>1</v>
      </c>
      <c r="G529" s="298"/>
      <c r="H529" s="28">
        <f>F529*G529</f>
        <v>0</v>
      </c>
      <c r="J529" s="120"/>
    </row>
    <row r="530" spans="1:10" s="118" customFormat="1" ht="58.95" customHeight="1">
      <c r="A530" s="186"/>
      <c r="B530" s="29"/>
      <c r="C530" s="29"/>
      <c r="D530" s="29" t="s">
        <v>600</v>
      </c>
      <c r="E530" s="29"/>
      <c r="F530" s="122">
        <v>1</v>
      </c>
      <c r="G530" s="302"/>
      <c r="H530" s="119"/>
      <c r="I530" s="121"/>
      <c r="J530" s="141"/>
    </row>
    <row r="531" spans="1:10" s="118" customFormat="1" ht="21.6">
      <c r="A531" s="186"/>
      <c r="B531" s="29"/>
      <c r="C531" s="29"/>
      <c r="D531" s="29" t="s">
        <v>223</v>
      </c>
      <c r="E531" s="29"/>
      <c r="F531" s="122"/>
      <c r="G531" s="302"/>
      <c r="H531" s="119"/>
      <c r="I531" s="121"/>
      <c r="J531" s="141"/>
    </row>
    <row r="532" spans="1:10" s="118" customFormat="1" ht="13.8">
      <c r="A532" s="182">
        <v>217</v>
      </c>
      <c r="B532" s="26">
        <v>766</v>
      </c>
      <c r="C532" s="26" t="s">
        <v>233</v>
      </c>
      <c r="D532" s="26" t="s">
        <v>601</v>
      </c>
      <c r="E532" s="26" t="s">
        <v>26</v>
      </c>
      <c r="F532" s="27">
        <f>F533</f>
        <v>1</v>
      </c>
      <c r="G532" s="298"/>
      <c r="H532" s="28">
        <f>F532*G532</f>
        <v>0</v>
      </c>
      <c r="J532" s="120"/>
    </row>
    <row r="533" spans="1:10" s="118" customFormat="1" ht="81" customHeight="1">
      <c r="A533" s="186"/>
      <c r="B533" s="29"/>
      <c r="C533" s="29"/>
      <c r="D533" s="29" t="s">
        <v>612</v>
      </c>
      <c r="E533" s="29"/>
      <c r="F533" s="122">
        <v>1</v>
      </c>
      <c r="G533" s="302"/>
      <c r="H533" s="119"/>
      <c r="I533" s="121"/>
      <c r="J533" s="141"/>
    </row>
    <row r="534" spans="1:10" s="118" customFormat="1" ht="21.6">
      <c r="A534" s="186"/>
      <c r="B534" s="29"/>
      <c r="C534" s="29"/>
      <c r="D534" s="29" t="s">
        <v>223</v>
      </c>
      <c r="E534" s="29"/>
      <c r="F534" s="122"/>
      <c r="G534" s="302"/>
      <c r="H534" s="119"/>
      <c r="I534" s="121"/>
      <c r="J534" s="141"/>
    </row>
    <row r="535" spans="1:10" s="118" customFormat="1" ht="13.8">
      <c r="A535" s="182">
        <v>218</v>
      </c>
      <c r="B535" s="26">
        <v>766</v>
      </c>
      <c r="C535" s="26" t="s">
        <v>234</v>
      </c>
      <c r="D535" s="26" t="s">
        <v>602</v>
      </c>
      <c r="E535" s="26" t="s">
        <v>26</v>
      </c>
      <c r="F535" s="27">
        <f>F536</f>
        <v>2</v>
      </c>
      <c r="G535" s="298"/>
      <c r="H535" s="28">
        <f>F535*G535</f>
        <v>0</v>
      </c>
      <c r="J535" s="120"/>
    </row>
    <row r="536" spans="1:10" s="118" customFormat="1" ht="70.05" customHeight="1">
      <c r="A536" s="186"/>
      <c r="B536" s="29"/>
      <c r="C536" s="29"/>
      <c r="D536" s="29" t="s">
        <v>604</v>
      </c>
      <c r="E536" s="29"/>
      <c r="F536" s="122">
        <v>2</v>
      </c>
      <c r="G536" s="302"/>
      <c r="H536" s="119"/>
      <c r="I536" s="121"/>
      <c r="J536" s="141"/>
    </row>
    <row r="537" spans="1:10" s="118" customFormat="1" ht="21.6">
      <c r="A537" s="186"/>
      <c r="B537" s="29"/>
      <c r="C537" s="29"/>
      <c r="D537" s="29" t="s">
        <v>223</v>
      </c>
      <c r="E537" s="29"/>
      <c r="F537" s="122"/>
      <c r="G537" s="302"/>
      <c r="H537" s="119"/>
      <c r="I537" s="121"/>
      <c r="J537" s="141"/>
    </row>
    <row r="538" spans="1:10" s="118" customFormat="1" ht="13.8">
      <c r="A538" s="182">
        <v>219</v>
      </c>
      <c r="B538" s="26">
        <v>766</v>
      </c>
      <c r="C538" s="26" t="s">
        <v>235</v>
      </c>
      <c r="D538" s="26" t="s">
        <v>603</v>
      </c>
      <c r="E538" s="26" t="s">
        <v>26</v>
      </c>
      <c r="F538" s="27">
        <f>F539</f>
        <v>2</v>
      </c>
      <c r="G538" s="298"/>
      <c r="H538" s="28">
        <f>F538*G538</f>
        <v>0</v>
      </c>
      <c r="J538" s="120"/>
    </row>
    <row r="539" spans="1:10" s="118" customFormat="1" ht="81" customHeight="1">
      <c r="A539" s="186"/>
      <c r="B539" s="29"/>
      <c r="C539" s="29"/>
      <c r="D539" s="29" t="s">
        <v>612</v>
      </c>
      <c r="E539" s="29"/>
      <c r="F539" s="122">
        <v>2</v>
      </c>
      <c r="G539" s="302"/>
      <c r="H539" s="119"/>
      <c r="I539" s="121"/>
      <c r="J539" s="141"/>
    </row>
    <row r="540" spans="1:10" s="118" customFormat="1" ht="21.6">
      <c r="A540" s="186"/>
      <c r="B540" s="29"/>
      <c r="C540" s="29"/>
      <c r="D540" s="29" t="s">
        <v>223</v>
      </c>
      <c r="E540" s="29"/>
      <c r="F540" s="122"/>
      <c r="G540" s="302"/>
      <c r="H540" s="119"/>
      <c r="I540" s="121"/>
      <c r="J540" s="141"/>
    </row>
    <row r="541" spans="1:10" s="118" customFormat="1" ht="13.8">
      <c r="A541" s="182">
        <v>220</v>
      </c>
      <c r="B541" s="26">
        <v>766</v>
      </c>
      <c r="C541" s="26" t="s">
        <v>236</v>
      </c>
      <c r="D541" s="26" t="s">
        <v>605</v>
      </c>
      <c r="E541" s="26" t="s">
        <v>26</v>
      </c>
      <c r="F541" s="27">
        <f>F542</f>
        <v>1</v>
      </c>
      <c r="G541" s="298"/>
      <c r="H541" s="28">
        <f>F541*G541</f>
        <v>0</v>
      </c>
      <c r="J541" s="120"/>
    </row>
    <row r="542" spans="1:10" s="118" customFormat="1" ht="70.05" customHeight="1">
      <c r="A542" s="186"/>
      <c r="B542" s="29"/>
      <c r="C542" s="29"/>
      <c r="D542" s="29" t="s">
        <v>604</v>
      </c>
      <c r="E542" s="29"/>
      <c r="F542" s="122">
        <v>1</v>
      </c>
      <c r="G542" s="302"/>
      <c r="H542" s="119"/>
      <c r="I542" s="121"/>
      <c r="J542" s="141"/>
    </row>
    <row r="543" spans="1:10" s="118" customFormat="1" ht="21.6">
      <c r="A543" s="186"/>
      <c r="B543" s="29"/>
      <c r="C543" s="29"/>
      <c r="D543" s="29" t="s">
        <v>223</v>
      </c>
      <c r="E543" s="29"/>
      <c r="F543" s="122"/>
      <c r="G543" s="302"/>
      <c r="H543" s="119"/>
      <c r="I543" s="121"/>
      <c r="J543" s="141"/>
    </row>
    <row r="544" spans="1:10" s="118" customFormat="1" ht="13.8">
      <c r="A544" s="182">
        <v>221</v>
      </c>
      <c r="B544" s="26">
        <v>766</v>
      </c>
      <c r="C544" s="26" t="s">
        <v>606</v>
      </c>
      <c r="D544" s="26" t="s">
        <v>607</v>
      </c>
      <c r="E544" s="26" t="s">
        <v>26</v>
      </c>
      <c r="F544" s="27">
        <f>F545</f>
        <v>1</v>
      </c>
      <c r="G544" s="298"/>
      <c r="H544" s="28">
        <f>F544*G544</f>
        <v>0</v>
      </c>
      <c r="J544" s="120"/>
    </row>
    <row r="545" spans="1:10" s="118" customFormat="1" ht="70.05" customHeight="1">
      <c r="A545" s="186"/>
      <c r="B545" s="29"/>
      <c r="C545" s="29"/>
      <c r="D545" s="29" t="s">
        <v>608</v>
      </c>
      <c r="E545" s="29"/>
      <c r="F545" s="122">
        <v>1</v>
      </c>
      <c r="G545" s="302"/>
      <c r="H545" s="119"/>
      <c r="I545" s="121"/>
      <c r="J545" s="141"/>
    </row>
    <row r="546" spans="1:10" s="118" customFormat="1" ht="21.6">
      <c r="A546" s="186"/>
      <c r="B546" s="29"/>
      <c r="C546" s="29"/>
      <c r="D546" s="29" t="s">
        <v>223</v>
      </c>
      <c r="E546" s="29"/>
      <c r="F546" s="122"/>
      <c r="G546" s="302"/>
      <c r="H546" s="119"/>
      <c r="I546" s="121"/>
      <c r="J546" s="141"/>
    </row>
    <row r="547" spans="1:10" s="118" customFormat="1" ht="13.8">
      <c r="A547" s="182">
        <v>222</v>
      </c>
      <c r="B547" s="26">
        <v>766</v>
      </c>
      <c r="C547" s="26" t="s">
        <v>610</v>
      </c>
      <c r="D547" s="26" t="s">
        <v>613</v>
      </c>
      <c r="E547" s="26" t="s">
        <v>26</v>
      </c>
      <c r="F547" s="27">
        <f>F548</f>
        <v>2</v>
      </c>
      <c r="G547" s="298"/>
      <c r="H547" s="28">
        <f>F547*G547</f>
        <v>0</v>
      </c>
      <c r="J547" s="120"/>
    </row>
    <row r="548" spans="1:10" s="118" customFormat="1" ht="81" customHeight="1">
      <c r="A548" s="186"/>
      <c r="B548" s="29"/>
      <c r="C548" s="29"/>
      <c r="D548" s="29" t="s">
        <v>612</v>
      </c>
      <c r="E548" s="29"/>
      <c r="F548" s="122">
        <v>2</v>
      </c>
      <c r="G548" s="302"/>
      <c r="H548" s="119"/>
      <c r="I548" s="121"/>
      <c r="J548" s="141"/>
    </row>
    <row r="549" spans="1:10" s="118" customFormat="1" ht="21.6">
      <c r="A549" s="186"/>
      <c r="B549" s="29"/>
      <c r="C549" s="29"/>
      <c r="D549" s="29" t="s">
        <v>223</v>
      </c>
      <c r="E549" s="29"/>
      <c r="F549" s="122"/>
      <c r="G549" s="302"/>
      <c r="H549" s="119"/>
      <c r="I549" s="121"/>
      <c r="J549" s="141"/>
    </row>
    <row r="550" spans="1:10" s="118" customFormat="1" ht="13.8">
      <c r="A550" s="182">
        <v>223</v>
      </c>
      <c r="B550" s="26">
        <v>766</v>
      </c>
      <c r="C550" s="26" t="s">
        <v>611</v>
      </c>
      <c r="D550" s="26" t="s">
        <v>614</v>
      </c>
      <c r="E550" s="26" t="s">
        <v>26</v>
      </c>
      <c r="F550" s="27">
        <f>F551</f>
        <v>2</v>
      </c>
      <c r="G550" s="298"/>
      <c r="H550" s="28">
        <f>F550*G550</f>
        <v>0</v>
      </c>
      <c r="J550" s="120"/>
    </row>
    <row r="551" spans="1:10" s="118" customFormat="1" ht="81" customHeight="1">
      <c r="A551" s="186"/>
      <c r="B551" s="29"/>
      <c r="C551" s="29"/>
      <c r="D551" s="29" t="s">
        <v>612</v>
      </c>
      <c r="E551" s="29"/>
      <c r="F551" s="122">
        <v>2</v>
      </c>
      <c r="G551" s="302"/>
      <c r="H551" s="119"/>
      <c r="I551" s="121"/>
      <c r="J551" s="141"/>
    </row>
    <row r="552" spans="1:10" s="118" customFormat="1" ht="21.6">
      <c r="A552" s="186"/>
      <c r="B552" s="29"/>
      <c r="C552" s="29"/>
      <c r="D552" s="29" t="s">
        <v>223</v>
      </c>
      <c r="E552" s="29"/>
      <c r="F552" s="122"/>
      <c r="G552" s="302"/>
      <c r="H552" s="119"/>
      <c r="I552" s="121"/>
      <c r="J552" s="141"/>
    </row>
    <row r="553" spans="1:10" s="118" customFormat="1" ht="13.8">
      <c r="A553" s="182">
        <v>224</v>
      </c>
      <c r="B553" s="26">
        <v>766</v>
      </c>
      <c r="C553" s="26" t="s">
        <v>615</v>
      </c>
      <c r="D553" s="26" t="s">
        <v>616</v>
      </c>
      <c r="E553" s="26" t="s">
        <v>26</v>
      </c>
      <c r="F553" s="27">
        <f>F554</f>
        <v>1</v>
      </c>
      <c r="G553" s="298"/>
      <c r="H553" s="28">
        <f>F553*G553</f>
        <v>0</v>
      </c>
      <c r="J553" s="120"/>
    </row>
    <row r="554" spans="1:10" s="118" customFormat="1" ht="81" customHeight="1">
      <c r="A554" s="186"/>
      <c r="B554" s="29"/>
      <c r="C554" s="29"/>
      <c r="D554" s="29" t="s">
        <v>617</v>
      </c>
      <c r="E554" s="29"/>
      <c r="F554" s="122">
        <v>1</v>
      </c>
      <c r="G554" s="302"/>
      <c r="H554" s="119"/>
      <c r="I554" s="121"/>
      <c r="J554" s="141"/>
    </row>
    <row r="555" spans="1:10" s="118" customFormat="1" ht="21.6">
      <c r="A555" s="186"/>
      <c r="B555" s="29"/>
      <c r="C555" s="29"/>
      <c r="D555" s="29" t="s">
        <v>223</v>
      </c>
      <c r="E555" s="29"/>
      <c r="F555" s="122"/>
      <c r="G555" s="302"/>
      <c r="H555" s="119"/>
      <c r="I555" s="121"/>
      <c r="J555" s="141"/>
    </row>
    <row r="556" spans="1:10" s="118" customFormat="1" ht="13.8">
      <c r="A556" s="182">
        <v>225</v>
      </c>
      <c r="B556" s="26">
        <v>766</v>
      </c>
      <c r="C556" s="26" t="s">
        <v>618</v>
      </c>
      <c r="D556" s="26" t="s">
        <v>619</v>
      </c>
      <c r="E556" s="26" t="s">
        <v>26</v>
      </c>
      <c r="F556" s="27">
        <f>F557</f>
        <v>6</v>
      </c>
      <c r="G556" s="298"/>
      <c r="H556" s="28">
        <f>F556*G556</f>
        <v>0</v>
      </c>
      <c r="J556" s="120"/>
    </row>
    <row r="557" spans="1:10" s="118" customFormat="1" ht="81" customHeight="1">
      <c r="A557" s="186"/>
      <c r="B557" s="29"/>
      <c r="C557" s="29"/>
      <c r="D557" s="29" t="s">
        <v>612</v>
      </c>
      <c r="E557" s="29"/>
      <c r="F557" s="122">
        <v>6</v>
      </c>
      <c r="G557" s="302"/>
      <c r="H557" s="119"/>
      <c r="I557" s="121"/>
      <c r="J557" s="141"/>
    </row>
    <row r="558" spans="1:10" s="118" customFormat="1" ht="21.6">
      <c r="A558" s="186"/>
      <c r="B558" s="29"/>
      <c r="C558" s="29"/>
      <c r="D558" s="29" t="s">
        <v>223</v>
      </c>
      <c r="E558" s="29"/>
      <c r="F558" s="122"/>
      <c r="G558" s="302"/>
      <c r="H558" s="119"/>
      <c r="I558" s="121"/>
      <c r="J558" s="141"/>
    </row>
    <row r="559" spans="1:10" s="118" customFormat="1" ht="13.8">
      <c r="A559" s="182">
        <v>226</v>
      </c>
      <c r="B559" s="26">
        <v>766</v>
      </c>
      <c r="C559" s="26" t="s">
        <v>620</v>
      </c>
      <c r="D559" s="26" t="s">
        <v>621</v>
      </c>
      <c r="E559" s="26" t="s">
        <v>26</v>
      </c>
      <c r="F559" s="27">
        <f>F560</f>
        <v>5</v>
      </c>
      <c r="G559" s="298"/>
      <c r="H559" s="28">
        <f>F559*G559</f>
        <v>0</v>
      </c>
      <c r="J559" s="120"/>
    </row>
    <row r="560" spans="1:10" s="118" customFormat="1" ht="81" customHeight="1">
      <c r="A560" s="186"/>
      <c r="B560" s="29"/>
      <c r="C560" s="29"/>
      <c r="D560" s="29" t="s">
        <v>612</v>
      </c>
      <c r="E560" s="29"/>
      <c r="F560" s="122">
        <v>5</v>
      </c>
      <c r="G560" s="302"/>
      <c r="H560" s="119"/>
      <c r="I560" s="121"/>
      <c r="J560" s="141"/>
    </row>
    <row r="561" spans="1:10" s="118" customFormat="1" ht="21.6">
      <c r="A561" s="186"/>
      <c r="B561" s="29"/>
      <c r="C561" s="29"/>
      <c r="D561" s="29" t="s">
        <v>223</v>
      </c>
      <c r="E561" s="29"/>
      <c r="F561" s="122"/>
      <c r="G561" s="302"/>
      <c r="H561" s="119"/>
      <c r="I561" s="121"/>
      <c r="J561" s="141"/>
    </row>
    <row r="562" spans="1:10" s="118" customFormat="1" ht="13.8">
      <c r="A562" s="182">
        <v>227</v>
      </c>
      <c r="B562" s="26">
        <v>766</v>
      </c>
      <c r="C562" s="26" t="s">
        <v>622</v>
      </c>
      <c r="D562" s="26" t="s">
        <v>624</v>
      </c>
      <c r="E562" s="26" t="s">
        <v>26</v>
      </c>
      <c r="F562" s="27">
        <f>F563</f>
        <v>4</v>
      </c>
      <c r="G562" s="298"/>
      <c r="H562" s="28">
        <f>F562*G562</f>
        <v>0</v>
      </c>
      <c r="J562" s="120"/>
    </row>
    <row r="563" spans="1:10" s="118" customFormat="1" ht="70.05" customHeight="1">
      <c r="A563" s="186"/>
      <c r="B563" s="29"/>
      <c r="C563" s="29"/>
      <c r="D563" s="29" t="s">
        <v>623</v>
      </c>
      <c r="E563" s="29"/>
      <c r="F563" s="122">
        <v>4</v>
      </c>
      <c r="G563" s="302"/>
      <c r="H563" s="119"/>
      <c r="I563" s="121"/>
      <c r="J563" s="141"/>
    </row>
    <row r="564" spans="1:10" s="118" customFormat="1" ht="21.6">
      <c r="A564" s="186"/>
      <c r="B564" s="29"/>
      <c r="C564" s="29"/>
      <c r="D564" s="29" t="s">
        <v>223</v>
      </c>
      <c r="E564" s="29"/>
      <c r="F564" s="122"/>
      <c r="G564" s="302"/>
      <c r="H564" s="119"/>
      <c r="I564" s="121"/>
      <c r="J564" s="141"/>
    </row>
    <row r="565" spans="1:10" s="118" customFormat="1" ht="13.8">
      <c r="A565" s="182">
        <v>228</v>
      </c>
      <c r="B565" s="26">
        <v>766</v>
      </c>
      <c r="C565" s="26" t="s">
        <v>625</v>
      </c>
      <c r="D565" s="26" t="s">
        <v>626</v>
      </c>
      <c r="E565" s="26" t="s">
        <v>26</v>
      </c>
      <c r="F565" s="27">
        <f>F566</f>
        <v>2</v>
      </c>
      <c r="G565" s="298"/>
      <c r="H565" s="28">
        <f>F565*G565</f>
        <v>0</v>
      </c>
      <c r="J565" s="120"/>
    </row>
    <row r="566" spans="1:10" s="118" customFormat="1" ht="70.05" customHeight="1">
      <c r="A566" s="186"/>
      <c r="B566" s="29"/>
      <c r="C566" s="29"/>
      <c r="D566" s="29" t="s">
        <v>623</v>
      </c>
      <c r="E566" s="29"/>
      <c r="F566" s="122">
        <v>2</v>
      </c>
      <c r="G566" s="302"/>
      <c r="H566" s="119"/>
      <c r="I566" s="121"/>
      <c r="J566" s="141"/>
    </row>
    <row r="567" spans="1:10" s="118" customFormat="1" ht="21.6">
      <c r="A567" s="186"/>
      <c r="B567" s="29"/>
      <c r="C567" s="29"/>
      <c r="D567" s="29" t="s">
        <v>223</v>
      </c>
      <c r="E567" s="29"/>
      <c r="F567" s="122"/>
      <c r="G567" s="302"/>
      <c r="H567" s="119"/>
      <c r="I567" s="121"/>
      <c r="J567" s="141"/>
    </row>
    <row r="568" spans="1:10" s="118" customFormat="1" ht="13.8">
      <c r="A568" s="182">
        <v>229</v>
      </c>
      <c r="B568" s="26">
        <v>766</v>
      </c>
      <c r="C568" s="26" t="s">
        <v>627</v>
      </c>
      <c r="D568" s="26" t="s">
        <v>628</v>
      </c>
      <c r="E568" s="26" t="s">
        <v>26</v>
      </c>
      <c r="F568" s="27">
        <f>F569</f>
        <v>1</v>
      </c>
      <c r="G568" s="298"/>
      <c r="H568" s="28">
        <f>F568*G568</f>
        <v>0</v>
      </c>
      <c r="J568" s="120"/>
    </row>
    <row r="569" spans="1:10" s="118" customFormat="1" ht="60" customHeight="1">
      <c r="A569" s="186"/>
      <c r="B569" s="29"/>
      <c r="C569" s="29"/>
      <c r="D569" s="29" t="s">
        <v>629</v>
      </c>
      <c r="E569" s="29"/>
      <c r="F569" s="122">
        <v>1</v>
      </c>
      <c r="G569" s="302"/>
      <c r="H569" s="119"/>
      <c r="I569" s="121"/>
      <c r="J569" s="141"/>
    </row>
    <row r="570" spans="1:10" s="118" customFormat="1" ht="21.6">
      <c r="A570" s="186"/>
      <c r="B570" s="29"/>
      <c r="C570" s="29"/>
      <c r="D570" s="29" t="s">
        <v>223</v>
      </c>
      <c r="E570" s="29"/>
      <c r="F570" s="122"/>
      <c r="G570" s="302"/>
      <c r="H570" s="119"/>
      <c r="I570" s="121"/>
      <c r="J570" s="141"/>
    </row>
    <row r="571" spans="1:10" s="118" customFormat="1" ht="13.8">
      <c r="A571" s="182">
        <v>230</v>
      </c>
      <c r="B571" s="26">
        <v>766</v>
      </c>
      <c r="C571" s="26" t="s">
        <v>633</v>
      </c>
      <c r="D571" s="26" t="s">
        <v>634</v>
      </c>
      <c r="E571" s="26" t="s">
        <v>26</v>
      </c>
      <c r="F571" s="27">
        <f>F572</f>
        <v>1</v>
      </c>
      <c r="G571" s="298"/>
      <c r="H571" s="28">
        <f>F571*G571</f>
        <v>0</v>
      </c>
      <c r="J571" s="120"/>
    </row>
    <row r="572" spans="1:10" s="118" customFormat="1" ht="49.95" customHeight="1">
      <c r="A572" s="186"/>
      <c r="B572" s="29"/>
      <c r="C572" s="29"/>
      <c r="D572" s="29" t="s">
        <v>635</v>
      </c>
      <c r="E572" s="29"/>
      <c r="F572" s="122">
        <v>1</v>
      </c>
      <c r="G572" s="302"/>
      <c r="H572" s="119"/>
      <c r="I572" s="121"/>
      <c r="J572" s="141"/>
    </row>
    <row r="573" spans="1:10" s="118" customFormat="1" ht="21.6">
      <c r="A573" s="186"/>
      <c r="B573" s="29"/>
      <c r="C573" s="29"/>
      <c r="D573" s="29" t="s">
        <v>223</v>
      </c>
      <c r="E573" s="29"/>
      <c r="F573" s="122"/>
      <c r="G573" s="302"/>
      <c r="H573" s="119"/>
      <c r="I573" s="121"/>
      <c r="J573" s="141"/>
    </row>
    <row r="574" spans="1:10" s="118" customFormat="1" ht="21">
      <c r="A574" s="182">
        <v>231</v>
      </c>
      <c r="B574" s="26">
        <v>766</v>
      </c>
      <c r="C574" s="26" t="s">
        <v>638</v>
      </c>
      <c r="D574" s="26" t="s">
        <v>640</v>
      </c>
      <c r="E574" s="26" t="s">
        <v>26</v>
      </c>
      <c r="F574" s="27">
        <f>F575</f>
        <v>1</v>
      </c>
      <c r="G574" s="298"/>
      <c r="H574" s="28">
        <f>F574*G574</f>
        <v>0</v>
      </c>
      <c r="J574" s="120"/>
    </row>
    <row r="575" spans="1:10" s="118" customFormat="1" ht="49.95" customHeight="1">
      <c r="A575" s="186"/>
      <c r="B575" s="29"/>
      <c r="C575" s="29"/>
      <c r="D575" s="29" t="s">
        <v>639</v>
      </c>
      <c r="E575" s="29"/>
      <c r="F575" s="122">
        <v>1</v>
      </c>
      <c r="G575" s="302"/>
      <c r="H575" s="119"/>
      <c r="I575" s="121"/>
      <c r="J575" s="141"/>
    </row>
    <row r="576" spans="1:10" s="118" customFormat="1" ht="21.6">
      <c r="A576" s="186"/>
      <c r="B576" s="29"/>
      <c r="C576" s="29"/>
      <c r="D576" s="29" t="s">
        <v>223</v>
      </c>
      <c r="E576" s="29"/>
      <c r="F576" s="122"/>
      <c r="G576" s="302"/>
      <c r="H576" s="119"/>
      <c r="I576" s="121"/>
      <c r="J576" s="141"/>
    </row>
    <row r="577" spans="1:10" s="118" customFormat="1" ht="13.8">
      <c r="A577" s="182">
        <v>232</v>
      </c>
      <c r="B577" s="26">
        <v>998</v>
      </c>
      <c r="C577" s="26">
        <v>998766202</v>
      </c>
      <c r="D577" s="26" t="s">
        <v>874</v>
      </c>
      <c r="E577" s="26" t="s">
        <v>21</v>
      </c>
      <c r="F577" s="27">
        <v>1.08</v>
      </c>
      <c r="G577" s="298"/>
      <c r="H577" s="28">
        <f>F577*G577</f>
        <v>0</v>
      </c>
      <c r="J577" s="120"/>
    </row>
    <row r="578" spans="1:10" s="118" customFormat="1" ht="13.8">
      <c r="A578" s="182">
        <v>233</v>
      </c>
      <c r="B578" s="26">
        <v>999</v>
      </c>
      <c r="C578" s="26" t="s">
        <v>86</v>
      </c>
      <c r="D578" s="26" t="s">
        <v>87</v>
      </c>
      <c r="E578" s="26" t="s">
        <v>46</v>
      </c>
      <c r="F578" s="27">
        <v>1</v>
      </c>
      <c r="G578" s="298"/>
      <c r="H578" s="28">
        <f>F578*G578</f>
        <v>0</v>
      </c>
      <c r="J578" s="120"/>
    </row>
    <row r="579" spans="1:10" s="118" customFormat="1" ht="13.8">
      <c r="A579" s="182"/>
      <c r="B579" s="26"/>
      <c r="C579" s="26"/>
      <c r="D579" s="29" t="s">
        <v>81</v>
      </c>
      <c r="E579" s="26"/>
      <c r="F579" s="30">
        <v>1</v>
      </c>
      <c r="G579" s="298"/>
      <c r="H579" s="28"/>
      <c r="J579" s="120"/>
    </row>
    <row r="580" spans="1:8" ht="15">
      <c r="A580" s="183"/>
      <c r="B580" s="15"/>
      <c r="C580" s="15">
        <v>767</v>
      </c>
      <c r="D580" s="15" t="s">
        <v>62</v>
      </c>
      <c r="E580" s="15"/>
      <c r="F580" s="16"/>
      <c r="G580" s="299"/>
      <c r="H580" s="17">
        <f>SUM(H581:H609)</f>
        <v>0</v>
      </c>
    </row>
    <row r="581" spans="1:10" s="118" customFormat="1" ht="13.8">
      <c r="A581" s="182">
        <v>234</v>
      </c>
      <c r="B581" s="26">
        <v>767</v>
      </c>
      <c r="C581" s="26">
        <v>767161814</v>
      </c>
      <c r="D581" s="26" t="s">
        <v>264</v>
      </c>
      <c r="E581" s="26" t="s">
        <v>74</v>
      </c>
      <c r="F581" s="27">
        <f>SUM(F582:F584)</f>
        <v>84.19999999999999</v>
      </c>
      <c r="G581" s="298"/>
      <c r="H581" s="28">
        <f>F581*G581</f>
        <v>0</v>
      </c>
      <c r="J581" s="120"/>
    </row>
    <row r="582" spans="1:12" s="118" customFormat="1" ht="13.8">
      <c r="A582" s="182"/>
      <c r="B582" s="26"/>
      <c r="C582" s="26"/>
      <c r="D582" s="29" t="s">
        <v>440</v>
      </c>
      <c r="E582" s="26"/>
      <c r="F582" s="30">
        <f>25.5*1.2</f>
        <v>30.599999999999998</v>
      </c>
      <c r="G582" s="298"/>
      <c r="H582" s="28"/>
      <c r="J582" s="120"/>
      <c r="L582" s="118" t="s">
        <v>93</v>
      </c>
    </row>
    <row r="583" spans="1:10" s="118" customFormat="1" ht="13.8">
      <c r="A583" s="182"/>
      <c r="B583" s="26"/>
      <c r="C583" s="26"/>
      <c r="D583" s="29" t="s">
        <v>444</v>
      </c>
      <c r="E583" s="26"/>
      <c r="F583" s="30">
        <f>25*1.2</f>
        <v>30</v>
      </c>
      <c r="G583" s="298"/>
      <c r="H583" s="28"/>
      <c r="J583" s="120"/>
    </row>
    <row r="584" spans="1:10" s="118" customFormat="1" ht="13.8">
      <c r="A584" s="182"/>
      <c r="B584" s="26"/>
      <c r="C584" s="26"/>
      <c r="D584" s="29" t="s">
        <v>1728</v>
      </c>
      <c r="E584" s="26"/>
      <c r="F584" s="30">
        <f>2.4+5.5+11.2+4.5</f>
        <v>23.6</v>
      </c>
      <c r="G584" s="298"/>
      <c r="H584" s="28"/>
      <c r="J584" s="120"/>
    </row>
    <row r="585" spans="1:10" s="118" customFormat="1" ht="13.8">
      <c r="A585" s="182">
        <v>235</v>
      </c>
      <c r="B585" s="26">
        <v>767</v>
      </c>
      <c r="C585" s="26">
        <v>767661811</v>
      </c>
      <c r="D585" s="26" t="s">
        <v>199</v>
      </c>
      <c r="E585" s="26" t="s">
        <v>18</v>
      </c>
      <c r="F585" s="27">
        <f>SUM(F586:F587)</f>
        <v>8.24</v>
      </c>
      <c r="G585" s="298"/>
      <c r="H585" s="28">
        <f>F585*G585</f>
        <v>0</v>
      </c>
      <c r="J585" s="120"/>
    </row>
    <row r="586" spans="1:10" s="118" customFormat="1" ht="13.8">
      <c r="A586" s="182"/>
      <c r="B586" s="26"/>
      <c r="C586" s="26"/>
      <c r="D586" s="29" t="s">
        <v>476</v>
      </c>
      <c r="E586" s="26"/>
      <c r="F586" s="30">
        <f>41*(0.2*0.2)</f>
        <v>1.6400000000000003</v>
      </c>
      <c r="G586" s="298"/>
      <c r="H586" s="28"/>
      <c r="J586" s="120"/>
    </row>
    <row r="587" spans="1:10" s="118" customFormat="1" ht="13.8">
      <c r="A587" s="182"/>
      <c r="B587" s="26"/>
      <c r="C587" s="26"/>
      <c r="D587" s="29" t="s">
        <v>653</v>
      </c>
      <c r="E587" s="26"/>
      <c r="F587" s="30">
        <f>2.2*3</f>
        <v>6.6000000000000005</v>
      </c>
      <c r="G587" s="298"/>
      <c r="H587" s="28"/>
      <c r="J587" s="120"/>
    </row>
    <row r="588" spans="1:10" s="118" customFormat="1" ht="13.8">
      <c r="A588" s="182">
        <v>236</v>
      </c>
      <c r="B588" s="26">
        <v>767</v>
      </c>
      <c r="C588" s="26">
        <v>767832802</v>
      </c>
      <c r="D588" s="26" t="s">
        <v>441</v>
      </c>
      <c r="E588" s="26" t="s">
        <v>74</v>
      </c>
      <c r="F588" s="27">
        <f>F589</f>
        <v>2.65</v>
      </c>
      <c r="G588" s="298"/>
      <c r="H588" s="28">
        <f>F588*G588</f>
        <v>0</v>
      </c>
      <c r="J588" s="120"/>
    </row>
    <row r="589" spans="1:10" s="118" customFormat="1" ht="13.8">
      <c r="A589" s="182"/>
      <c r="B589" s="26"/>
      <c r="C589" s="26"/>
      <c r="D589" s="29" t="s">
        <v>442</v>
      </c>
      <c r="E589" s="26"/>
      <c r="F589" s="30">
        <v>2.65</v>
      </c>
      <c r="G589" s="298"/>
      <c r="H589" s="28"/>
      <c r="J589" s="120"/>
    </row>
    <row r="590" spans="1:10" s="118" customFormat="1" ht="13.8">
      <c r="A590" s="182">
        <v>237</v>
      </c>
      <c r="B590" s="26">
        <v>767</v>
      </c>
      <c r="C590" s="26" t="s">
        <v>105</v>
      </c>
      <c r="D590" s="26" t="s">
        <v>443</v>
      </c>
      <c r="E590" s="26" t="s">
        <v>26</v>
      </c>
      <c r="F590" s="27">
        <f>F591</f>
        <v>1</v>
      </c>
      <c r="G590" s="298"/>
      <c r="H590" s="28">
        <f>F590*G590</f>
        <v>0</v>
      </c>
      <c r="J590" s="120"/>
    </row>
    <row r="591" spans="1:10" s="118" customFormat="1" ht="15">
      <c r="A591" s="186"/>
      <c r="B591" s="29"/>
      <c r="C591" s="29"/>
      <c r="D591" s="29" t="s">
        <v>447</v>
      </c>
      <c r="E591" s="29"/>
      <c r="F591" s="122">
        <v>1</v>
      </c>
      <c r="G591" s="302"/>
      <c r="H591" s="119"/>
      <c r="I591" s="121"/>
      <c r="J591" s="141"/>
    </row>
    <row r="592" spans="1:10" s="118" customFormat="1" ht="13.8">
      <c r="A592" s="182"/>
      <c r="B592" s="26"/>
      <c r="C592" s="26"/>
      <c r="D592" s="29" t="s">
        <v>96</v>
      </c>
      <c r="E592" s="26"/>
      <c r="F592" s="30"/>
      <c r="G592" s="298"/>
      <c r="H592" s="28"/>
      <c r="J592" s="120"/>
    </row>
    <row r="593" spans="1:10" s="118" customFormat="1" ht="13.8">
      <c r="A593" s="182">
        <v>238</v>
      </c>
      <c r="B593" s="26">
        <v>767</v>
      </c>
      <c r="C593" s="26" t="s">
        <v>107</v>
      </c>
      <c r="D593" s="26" t="s">
        <v>445</v>
      </c>
      <c r="E593" s="26" t="s">
        <v>26</v>
      </c>
      <c r="F593" s="27">
        <f>F594</f>
        <v>1</v>
      </c>
      <c r="G593" s="298"/>
      <c r="H593" s="28">
        <f>F593*G593</f>
        <v>0</v>
      </c>
      <c r="J593" s="120"/>
    </row>
    <row r="594" spans="1:10" s="118" customFormat="1" ht="21.6">
      <c r="A594" s="186"/>
      <c r="B594" s="29"/>
      <c r="C594" s="29"/>
      <c r="D594" s="29" t="s">
        <v>446</v>
      </c>
      <c r="E594" s="29"/>
      <c r="F594" s="122">
        <v>1</v>
      </c>
      <c r="G594" s="302"/>
      <c r="H594" s="119"/>
      <c r="I594" s="121"/>
      <c r="J594" s="141"/>
    </row>
    <row r="595" spans="1:10" s="118" customFormat="1" ht="13.8">
      <c r="A595" s="182"/>
      <c r="B595" s="26"/>
      <c r="C595" s="26"/>
      <c r="D595" s="29" t="s">
        <v>96</v>
      </c>
      <c r="E595" s="26"/>
      <c r="F595" s="30"/>
      <c r="G595" s="298"/>
      <c r="H595" s="28"/>
      <c r="J595" s="120"/>
    </row>
    <row r="596" spans="1:10" s="118" customFormat="1" ht="13.8">
      <c r="A596" s="182">
        <v>239</v>
      </c>
      <c r="B596" s="26">
        <v>767</v>
      </c>
      <c r="C596" s="26" t="s">
        <v>108</v>
      </c>
      <c r="D596" s="26" t="s">
        <v>448</v>
      </c>
      <c r="E596" s="26" t="s">
        <v>26</v>
      </c>
      <c r="F596" s="27">
        <f>F597</f>
        <v>1</v>
      </c>
      <c r="G596" s="298"/>
      <c r="H596" s="28">
        <f>F596*G596</f>
        <v>0</v>
      </c>
      <c r="J596" s="120"/>
    </row>
    <row r="597" spans="1:10" s="118" customFormat="1" ht="52.2">
      <c r="A597" s="186"/>
      <c r="B597" s="29"/>
      <c r="C597" s="29"/>
      <c r="D597" s="29" t="s">
        <v>449</v>
      </c>
      <c r="E597" s="29"/>
      <c r="F597" s="122">
        <v>1</v>
      </c>
      <c r="G597" s="302"/>
      <c r="H597" s="119"/>
      <c r="I597" s="121"/>
      <c r="J597" s="141"/>
    </row>
    <row r="598" spans="1:10" s="118" customFormat="1" ht="13.8">
      <c r="A598" s="182"/>
      <c r="B598" s="26"/>
      <c r="C598" s="26"/>
      <c r="D598" s="29" t="s">
        <v>96</v>
      </c>
      <c r="E598" s="26"/>
      <c r="F598" s="30"/>
      <c r="G598" s="298"/>
      <c r="H598" s="28"/>
      <c r="J598" s="120"/>
    </row>
    <row r="599" spans="1:10" s="118" customFormat="1" ht="13.8">
      <c r="A599" s="182">
        <v>240</v>
      </c>
      <c r="B599" s="26">
        <v>767</v>
      </c>
      <c r="C599" s="26" t="s">
        <v>464</v>
      </c>
      <c r="D599" s="26" t="s">
        <v>465</v>
      </c>
      <c r="E599" s="26" t="s">
        <v>46</v>
      </c>
      <c r="F599" s="27">
        <f>F600</f>
        <v>1</v>
      </c>
      <c r="G599" s="298"/>
      <c r="H599" s="28">
        <f>F599*G599</f>
        <v>0</v>
      </c>
      <c r="J599" s="120"/>
    </row>
    <row r="600" spans="1:10" s="118" customFormat="1" ht="21.6">
      <c r="A600" s="186"/>
      <c r="B600" s="29"/>
      <c r="C600" s="29"/>
      <c r="D600" s="29" t="s">
        <v>467</v>
      </c>
      <c r="E600" s="29"/>
      <c r="F600" s="122">
        <v>1</v>
      </c>
      <c r="G600" s="302"/>
      <c r="H600" s="119"/>
      <c r="I600" s="121"/>
      <c r="J600" s="141"/>
    </row>
    <row r="601" spans="1:10" s="118" customFormat="1" ht="49.95" customHeight="1">
      <c r="A601" s="186"/>
      <c r="B601" s="29"/>
      <c r="C601" s="29"/>
      <c r="D601" s="29" t="s">
        <v>468</v>
      </c>
      <c r="E601" s="29"/>
      <c r="F601" s="122"/>
      <c r="G601" s="302"/>
      <c r="H601" s="119"/>
      <c r="I601" s="121"/>
      <c r="J601" s="141"/>
    </row>
    <row r="602" spans="1:10" s="118" customFormat="1" ht="13.8">
      <c r="A602" s="182"/>
      <c r="B602" s="26"/>
      <c r="C602" s="26"/>
      <c r="D602" s="29" t="s">
        <v>469</v>
      </c>
      <c r="E602" s="26"/>
      <c r="F602" s="30"/>
      <c r="G602" s="298"/>
      <c r="H602" s="28"/>
      <c r="J602" s="120"/>
    </row>
    <row r="603" spans="1:10" s="118" customFormat="1" ht="21">
      <c r="A603" s="182"/>
      <c r="B603" s="26"/>
      <c r="C603" s="26"/>
      <c r="D603" s="29" t="s">
        <v>466</v>
      </c>
      <c r="E603" s="26"/>
      <c r="F603" s="30"/>
      <c r="G603" s="298"/>
      <c r="H603" s="28"/>
      <c r="J603" s="120"/>
    </row>
    <row r="604" spans="1:10" s="118" customFormat="1" ht="13.8">
      <c r="A604" s="182">
        <v>241</v>
      </c>
      <c r="B604" s="26">
        <v>767</v>
      </c>
      <c r="C604" s="26" t="s">
        <v>470</v>
      </c>
      <c r="D604" s="26" t="s">
        <v>471</v>
      </c>
      <c r="E604" s="26" t="s">
        <v>26</v>
      </c>
      <c r="F604" s="27">
        <f>F605</f>
        <v>1</v>
      </c>
      <c r="G604" s="298"/>
      <c r="H604" s="28">
        <f>F604*G604</f>
        <v>0</v>
      </c>
      <c r="J604" s="120"/>
    </row>
    <row r="605" spans="1:10" s="118" customFormat="1" ht="42">
      <c r="A605" s="186"/>
      <c r="B605" s="29"/>
      <c r="C605" s="29"/>
      <c r="D605" s="29" t="s">
        <v>472</v>
      </c>
      <c r="E605" s="29"/>
      <c r="F605" s="122">
        <v>1</v>
      </c>
      <c r="G605" s="302"/>
      <c r="H605" s="119"/>
      <c r="I605" s="121"/>
      <c r="J605" s="141"/>
    </row>
    <row r="606" spans="1:10" s="118" customFormat="1" ht="13.8">
      <c r="A606" s="182"/>
      <c r="B606" s="26"/>
      <c r="C606" s="26"/>
      <c r="D606" s="29" t="s">
        <v>96</v>
      </c>
      <c r="E606" s="26"/>
      <c r="F606" s="30"/>
      <c r="G606" s="298"/>
      <c r="H606" s="28"/>
      <c r="J606" s="120"/>
    </row>
    <row r="607" spans="1:10" s="118" customFormat="1" ht="13.8">
      <c r="A607" s="182">
        <v>242</v>
      </c>
      <c r="B607" s="26">
        <v>998</v>
      </c>
      <c r="C607" s="26">
        <v>998767202</v>
      </c>
      <c r="D607" s="26" t="s">
        <v>873</v>
      </c>
      <c r="E607" s="26" t="s">
        <v>21</v>
      </c>
      <c r="F607" s="27">
        <v>1.79</v>
      </c>
      <c r="G607" s="298"/>
      <c r="H607" s="28">
        <f>F607*G607</f>
        <v>0</v>
      </c>
      <c r="J607" s="120"/>
    </row>
    <row r="608" spans="1:10" s="118" customFormat="1" ht="13.8">
      <c r="A608" s="182">
        <v>243</v>
      </c>
      <c r="B608" s="26">
        <v>999</v>
      </c>
      <c r="C608" s="26" t="s">
        <v>88</v>
      </c>
      <c r="D608" s="26" t="s">
        <v>89</v>
      </c>
      <c r="E608" s="26" t="s">
        <v>46</v>
      </c>
      <c r="F608" s="27">
        <v>1</v>
      </c>
      <c r="G608" s="298"/>
      <c r="H608" s="28">
        <f>F608*G608</f>
        <v>0</v>
      </c>
      <c r="J608" s="120"/>
    </row>
    <row r="609" spans="1:10" s="118" customFormat="1" ht="13.8">
      <c r="A609" s="182"/>
      <c r="B609" s="26"/>
      <c r="C609" s="26"/>
      <c r="D609" s="29" t="s">
        <v>81</v>
      </c>
      <c r="E609" s="26"/>
      <c r="F609" s="30">
        <v>1</v>
      </c>
      <c r="G609" s="298"/>
      <c r="H609" s="28"/>
      <c r="J609" s="120"/>
    </row>
    <row r="610" spans="1:8" ht="15">
      <c r="A610" s="183"/>
      <c r="B610" s="15"/>
      <c r="C610" s="15">
        <v>771</v>
      </c>
      <c r="D610" s="15" t="s">
        <v>132</v>
      </c>
      <c r="E610" s="15"/>
      <c r="F610" s="16"/>
      <c r="G610" s="299"/>
      <c r="H610" s="17">
        <f>SUM(H611:H636)</f>
        <v>0</v>
      </c>
    </row>
    <row r="611" spans="1:10" s="118" customFormat="1" ht="13.8">
      <c r="A611" s="182">
        <v>244</v>
      </c>
      <c r="B611" s="26">
        <v>771</v>
      </c>
      <c r="C611" s="26">
        <v>771111011</v>
      </c>
      <c r="D611" s="26" t="s">
        <v>720</v>
      </c>
      <c r="E611" s="26" t="s">
        <v>18</v>
      </c>
      <c r="F611" s="27">
        <f>F612</f>
        <v>247.46800000000002</v>
      </c>
      <c r="G611" s="298"/>
      <c r="H611" s="28">
        <f>F611*G611</f>
        <v>0</v>
      </c>
      <c r="J611" s="120"/>
    </row>
    <row r="612" spans="1:10" s="118" customFormat="1" ht="13.8">
      <c r="A612" s="182"/>
      <c r="B612" s="26"/>
      <c r="C612" s="26"/>
      <c r="D612" s="29" t="s">
        <v>721</v>
      </c>
      <c r="E612" s="26"/>
      <c r="F612" s="30">
        <f>F623+F630+F633</f>
        <v>247.46800000000002</v>
      </c>
      <c r="G612" s="298"/>
      <c r="H612" s="28"/>
      <c r="J612" s="120"/>
    </row>
    <row r="613" spans="1:10" s="118" customFormat="1" ht="13.8">
      <c r="A613" s="182">
        <v>245</v>
      </c>
      <c r="B613" s="26">
        <v>771</v>
      </c>
      <c r="C613" s="26">
        <v>771121011</v>
      </c>
      <c r="D613" s="26" t="s">
        <v>131</v>
      </c>
      <c r="E613" s="26" t="s">
        <v>18</v>
      </c>
      <c r="F613" s="27">
        <f>F614</f>
        <v>247.46800000000002</v>
      </c>
      <c r="G613" s="298"/>
      <c r="H613" s="28">
        <f>F613*G613</f>
        <v>0</v>
      </c>
      <c r="J613" s="120"/>
    </row>
    <row r="614" spans="1:10" s="118" customFormat="1" ht="13.8">
      <c r="A614" s="182"/>
      <c r="B614" s="26"/>
      <c r="C614" s="26"/>
      <c r="D614" s="29" t="s">
        <v>133</v>
      </c>
      <c r="E614" s="26"/>
      <c r="F614" s="30">
        <f>F623+F630+F633</f>
        <v>247.46800000000002</v>
      </c>
      <c r="G614" s="298"/>
      <c r="H614" s="28"/>
      <c r="J614" s="120"/>
    </row>
    <row r="615" spans="1:10" s="118" customFormat="1" ht="13.8">
      <c r="A615" s="182">
        <v>246</v>
      </c>
      <c r="B615" s="26">
        <v>771</v>
      </c>
      <c r="C615" s="26">
        <v>771571810</v>
      </c>
      <c r="D615" s="26" t="s">
        <v>237</v>
      </c>
      <c r="E615" s="26" t="s">
        <v>18</v>
      </c>
      <c r="F615" s="27">
        <f>SUM(F616:F617)</f>
        <v>57.79999999999998</v>
      </c>
      <c r="G615" s="298"/>
      <c r="H615" s="28">
        <f>F615*G615</f>
        <v>0</v>
      </c>
      <c r="J615" s="120"/>
    </row>
    <row r="616" spans="1:10" s="118" customFormat="1" ht="28.05" customHeight="1">
      <c r="A616" s="186"/>
      <c r="B616" s="29"/>
      <c r="C616" s="29"/>
      <c r="D616" s="29" t="s">
        <v>647</v>
      </c>
      <c r="E616" s="29"/>
      <c r="F616" s="122">
        <f>277.8-228.5-7</f>
        <v>42.30000000000001</v>
      </c>
      <c r="G616" s="302"/>
      <c r="H616" s="119"/>
      <c r="I616" s="121"/>
      <c r="J616" s="141"/>
    </row>
    <row r="617" spans="1:10" s="118" customFormat="1" ht="28.05" customHeight="1">
      <c r="A617" s="186"/>
      <c r="B617" s="29"/>
      <c r="C617" s="29"/>
      <c r="D617" s="29" t="s">
        <v>648</v>
      </c>
      <c r="E617" s="29"/>
      <c r="F617" s="122">
        <f>211.1-72.2-123.4</f>
        <v>15.499999999999972</v>
      </c>
      <c r="G617" s="302"/>
      <c r="H617" s="119"/>
      <c r="I617" s="121"/>
      <c r="J617" s="141"/>
    </row>
    <row r="618" spans="1:10" s="118" customFormat="1" ht="13.8">
      <c r="A618" s="182">
        <v>247</v>
      </c>
      <c r="B618" s="26">
        <v>771</v>
      </c>
      <c r="C618" s="26">
        <v>771591112</v>
      </c>
      <c r="D618" s="26" t="s">
        <v>134</v>
      </c>
      <c r="E618" s="26" t="s">
        <v>18</v>
      </c>
      <c r="F618" s="27">
        <f>F619</f>
        <v>247.46800000000002</v>
      </c>
      <c r="G618" s="298"/>
      <c r="H618" s="28">
        <f>F618*G618</f>
        <v>0</v>
      </c>
      <c r="J618" s="120"/>
    </row>
    <row r="619" spans="1:10" s="118" customFormat="1" ht="13.8">
      <c r="A619" s="182"/>
      <c r="B619" s="26"/>
      <c r="C619" s="26"/>
      <c r="D619" s="29" t="s">
        <v>148</v>
      </c>
      <c r="E619" s="26"/>
      <c r="F619" s="30">
        <f>F623+F630+F633</f>
        <v>247.46800000000002</v>
      </c>
      <c r="G619" s="298"/>
      <c r="H619" s="28"/>
      <c r="J619" s="120"/>
    </row>
    <row r="620" spans="1:10" s="118" customFormat="1" ht="13.8">
      <c r="A620" s="182">
        <v>248</v>
      </c>
      <c r="B620" s="26">
        <v>771</v>
      </c>
      <c r="C620" s="26">
        <v>771591223</v>
      </c>
      <c r="D620" s="26" t="s">
        <v>331</v>
      </c>
      <c r="E620" s="26" t="s">
        <v>18</v>
      </c>
      <c r="F620" s="27">
        <f>SUM(F621:F622)</f>
        <v>503.50000000000006</v>
      </c>
      <c r="G620" s="298"/>
      <c r="H620" s="28">
        <f>F620*G620</f>
        <v>0</v>
      </c>
      <c r="J620" s="120"/>
    </row>
    <row r="621" spans="1:10" s="121" customFormat="1" ht="21">
      <c r="A621" s="182"/>
      <c r="B621" s="26"/>
      <c r="C621" s="26"/>
      <c r="D621" s="29" t="s">
        <v>715</v>
      </c>
      <c r="E621" s="26"/>
      <c r="F621" s="30">
        <f>16.6+40.6+82.9+4.9+4.5+25.3+9.7+1+7.3+6.1+10.8+4.5+13.8+28.7+1.2+1.4+1.8+4.4+18.6</f>
        <v>284.1</v>
      </c>
      <c r="G621" s="303"/>
      <c r="H621" s="28"/>
      <c r="J621" s="120"/>
    </row>
    <row r="622" spans="1:10" s="121" customFormat="1" ht="21">
      <c r="A622" s="182"/>
      <c r="B622" s="26"/>
      <c r="C622" s="26"/>
      <c r="D622" s="29" t="s">
        <v>714</v>
      </c>
      <c r="E622" s="26"/>
      <c r="F622" s="30">
        <f>40.5+83.6+10.8+13.8+1.4+1.5+1.8+4.4+18.6+25.4+11.6+1+5</f>
        <v>219.40000000000003</v>
      </c>
      <c r="G622" s="303"/>
      <c r="H622" s="28"/>
      <c r="J622" s="120"/>
    </row>
    <row r="623" spans="1:10" s="118" customFormat="1" ht="21">
      <c r="A623" s="182">
        <v>249</v>
      </c>
      <c r="B623" s="26">
        <v>771</v>
      </c>
      <c r="C623" s="26">
        <v>771574154</v>
      </c>
      <c r="D623" s="26" t="s">
        <v>135</v>
      </c>
      <c r="E623" s="26" t="s">
        <v>18</v>
      </c>
      <c r="F623" s="27">
        <f>SUM(F624:F625)</f>
        <v>234.40000000000003</v>
      </c>
      <c r="G623" s="298"/>
      <c r="H623" s="28">
        <f>F623*G623</f>
        <v>0</v>
      </c>
      <c r="J623" s="120"/>
    </row>
    <row r="624" spans="1:10" s="118" customFormat="1" ht="31.8">
      <c r="A624" s="186"/>
      <c r="B624" s="29"/>
      <c r="C624" s="29"/>
      <c r="D624" s="29" t="s">
        <v>716</v>
      </c>
      <c r="E624" s="29"/>
      <c r="F624" s="122">
        <f>25.3+9.7+1+7.3+6.1+10.8+4.5+13.8+28.7+1.2+1.4+1.8+4.4+18.6+4.5</f>
        <v>139.10000000000002</v>
      </c>
      <c r="G624" s="302"/>
      <c r="H624" s="119"/>
      <c r="I624" s="121"/>
      <c r="J624" s="141"/>
    </row>
    <row r="625" spans="1:10" s="118" customFormat="1" ht="31.8">
      <c r="A625" s="186"/>
      <c r="B625" s="29"/>
      <c r="C625" s="29"/>
      <c r="D625" s="29" t="s">
        <v>717</v>
      </c>
      <c r="E625" s="29"/>
      <c r="F625" s="122">
        <f>10.8+13.8+1.4+1.5+1.8+4.4+18.6+25.4+11.6+1+5</f>
        <v>95.3</v>
      </c>
      <c r="G625" s="302"/>
      <c r="H625" s="119"/>
      <c r="I625" s="121"/>
      <c r="J625" s="141"/>
    </row>
    <row r="626" spans="1:10" s="167" customFormat="1" ht="15">
      <c r="A626" s="184">
        <v>250</v>
      </c>
      <c r="B626" s="164">
        <v>597</v>
      </c>
      <c r="C626" s="164">
        <v>59761007</v>
      </c>
      <c r="D626" s="164" t="s">
        <v>711</v>
      </c>
      <c r="E626" s="164" t="s">
        <v>18</v>
      </c>
      <c r="F626" s="165">
        <f>F623*1.2</f>
        <v>281.28000000000003</v>
      </c>
      <c r="G626" s="300"/>
      <c r="H626" s="166">
        <f>F626*G626</f>
        <v>0</v>
      </c>
      <c r="J626" s="168"/>
    </row>
    <row r="627" spans="1:10" s="167" customFormat="1" ht="15">
      <c r="A627" s="184">
        <v>251</v>
      </c>
      <c r="B627" s="164">
        <v>597</v>
      </c>
      <c r="C627" s="164" t="s">
        <v>712</v>
      </c>
      <c r="D627" s="164" t="s">
        <v>713</v>
      </c>
      <c r="E627" s="164" t="s">
        <v>18</v>
      </c>
      <c r="F627" s="165">
        <v>5</v>
      </c>
      <c r="G627" s="300"/>
      <c r="H627" s="166">
        <f>F627*G627</f>
        <v>0</v>
      </c>
      <c r="J627" s="168"/>
    </row>
    <row r="628" spans="1:10" s="118" customFormat="1" ht="21">
      <c r="A628" s="182">
        <v>252</v>
      </c>
      <c r="B628" s="26">
        <v>771</v>
      </c>
      <c r="C628" s="26">
        <v>771274123</v>
      </c>
      <c r="D628" s="26" t="s">
        <v>833</v>
      </c>
      <c r="E628" s="26" t="s">
        <v>74</v>
      </c>
      <c r="F628" s="27">
        <f>F629</f>
        <v>26.4</v>
      </c>
      <c r="G628" s="298"/>
      <c r="H628" s="28">
        <f>F628*G628</f>
        <v>0</v>
      </c>
      <c r="J628" s="120"/>
    </row>
    <row r="629" spans="1:10" s="118" customFormat="1" ht="13.8">
      <c r="A629" s="182"/>
      <c r="B629" s="26"/>
      <c r="C629" s="26"/>
      <c r="D629" s="29" t="s">
        <v>831</v>
      </c>
      <c r="E629" s="26"/>
      <c r="F629" s="30">
        <f>22*1.2</f>
        <v>26.4</v>
      </c>
      <c r="G629" s="298"/>
      <c r="H629" s="28"/>
      <c r="J629" s="120"/>
    </row>
    <row r="630" spans="1:10" s="167" customFormat="1" ht="15">
      <c r="A630" s="184">
        <v>253</v>
      </c>
      <c r="B630" s="164">
        <v>597</v>
      </c>
      <c r="C630" s="164">
        <v>59761609</v>
      </c>
      <c r="D630" s="164" t="s">
        <v>832</v>
      </c>
      <c r="E630" s="164" t="s">
        <v>18</v>
      </c>
      <c r="F630" s="165">
        <f>1.1*(0.3*F628)</f>
        <v>8.712</v>
      </c>
      <c r="G630" s="300"/>
      <c r="H630" s="166">
        <f>F630*G630</f>
        <v>0</v>
      </c>
      <c r="J630" s="168"/>
    </row>
    <row r="631" spans="1:10" s="118" customFormat="1" ht="13.8">
      <c r="A631" s="182">
        <v>254</v>
      </c>
      <c r="B631" s="26">
        <v>771</v>
      </c>
      <c r="C631" s="26">
        <v>771274241</v>
      </c>
      <c r="D631" s="26" t="s">
        <v>834</v>
      </c>
      <c r="E631" s="26" t="s">
        <v>74</v>
      </c>
      <c r="F631" s="27">
        <f>F632</f>
        <v>26.4</v>
      </c>
      <c r="G631" s="298"/>
      <c r="H631" s="28">
        <f>F631*G631</f>
        <v>0</v>
      </c>
      <c r="J631" s="120"/>
    </row>
    <row r="632" spans="1:10" s="118" customFormat="1" ht="13.8">
      <c r="A632" s="182"/>
      <c r="B632" s="26"/>
      <c r="C632" s="26"/>
      <c r="D632" s="29" t="s">
        <v>835</v>
      </c>
      <c r="E632" s="26"/>
      <c r="F632" s="30">
        <f>22*1.2</f>
        <v>26.4</v>
      </c>
      <c r="G632" s="298"/>
      <c r="H632" s="28"/>
      <c r="J632" s="120"/>
    </row>
    <row r="633" spans="1:10" s="167" customFormat="1" ht="15">
      <c r="A633" s="184">
        <v>255</v>
      </c>
      <c r="B633" s="164">
        <v>597</v>
      </c>
      <c r="C633" s="164">
        <v>59761609</v>
      </c>
      <c r="D633" s="164" t="s">
        <v>832</v>
      </c>
      <c r="E633" s="164" t="s">
        <v>18</v>
      </c>
      <c r="F633" s="165">
        <f>1.1*(0.15*F631)</f>
        <v>4.356</v>
      </c>
      <c r="G633" s="300"/>
      <c r="H633" s="166">
        <f>F633*G633</f>
        <v>0</v>
      </c>
      <c r="J633" s="168"/>
    </row>
    <row r="634" spans="1:10" s="118" customFormat="1" ht="13.8">
      <c r="A634" s="182">
        <v>256</v>
      </c>
      <c r="B634" s="26">
        <v>998</v>
      </c>
      <c r="C634" s="26">
        <v>998771202</v>
      </c>
      <c r="D634" s="26" t="s">
        <v>872</v>
      </c>
      <c r="E634" s="26" t="s">
        <v>21</v>
      </c>
      <c r="F634" s="27">
        <v>6.58</v>
      </c>
      <c r="G634" s="298"/>
      <c r="H634" s="28">
        <f>F634*G634</f>
        <v>0</v>
      </c>
      <c r="J634" s="120"/>
    </row>
    <row r="635" spans="1:10" s="118" customFormat="1" ht="13.8">
      <c r="A635" s="182">
        <v>257</v>
      </c>
      <c r="B635" s="26">
        <v>999</v>
      </c>
      <c r="C635" s="26" t="s">
        <v>178</v>
      </c>
      <c r="D635" s="26" t="s">
        <v>179</v>
      </c>
      <c r="E635" s="26" t="s">
        <v>46</v>
      </c>
      <c r="F635" s="27">
        <v>1</v>
      </c>
      <c r="G635" s="298"/>
      <c r="H635" s="28">
        <f>F635*G635</f>
        <v>0</v>
      </c>
      <c r="J635" s="120"/>
    </row>
    <row r="636" spans="1:10" s="118" customFormat="1" ht="13.8">
      <c r="A636" s="182"/>
      <c r="B636" s="26"/>
      <c r="C636" s="26"/>
      <c r="D636" s="29" t="s">
        <v>81</v>
      </c>
      <c r="E636" s="26"/>
      <c r="F636" s="30">
        <v>1</v>
      </c>
      <c r="G636" s="298"/>
      <c r="H636" s="28"/>
      <c r="J636" s="120"/>
    </row>
    <row r="637" spans="1:8" ht="15">
      <c r="A637" s="183"/>
      <c r="B637" s="15"/>
      <c r="C637" s="15">
        <v>776</v>
      </c>
      <c r="D637" s="15" t="s">
        <v>239</v>
      </c>
      <c r="E637" s="15"/>
      <c r="F637" s="16"/>
      <c r="G637" s="299"/>
      <c r="H637" s="17">
        <f>SUM(H638:H657)</f>
        <v>0</v>
      </c>
    </row>
    <row r="638" spans="1:10" s="118" customFormat="1" ht="13.8">
      <c r="A638" s="182">
        <v>258</v>
      </c>
      <c r="B638" s="26">
        <v>776</v>
      </c>
      <c r="C638" s="26">
        <v>776111311</v>
      </c>
      <c r="D638" s="26" t="s">
        <v>722</v>
      </c>
      <c r="E638" s="26" t="s">
        <v>18</v>
      </c>
      <c r="F638" s="27">
        <f>F639</f>
        <v>269.1</v>
      </c>
      <c r="G638" s="298"/>
      <c r="H638" s="28">
        <f>F638*G638</f>
        <v>0</v>
      </c>
      <c r="J638" s="120"/>
    </row>
    <row r="639" spans="1:10" s="118" customFormat="1" ht="13.8">
      <c r="A639" s="182"/>
      <c r="B639" s="26"/>
      <c r="C639" s="26"/>
      <c r="D639" s="29" t="s">
        <v>721</v>
      </c>
      <c r="E639" s="26"/>
      <c r="F639" s="30">
        <f>F651</f>
        <v>269.1</v>
      </c>
      <c r="G639" s="298"/>
      <c r="H639" s="28"/>
      <c r="J639" s="120"/>
    </row>
    <row r="640" spans="1:10" s="118" customFormat="1" ht="13.8">
      <c r="A640" s="182">
        <v>259</v>
      </c>
      <c r="B640" s="26">
        <v>776</v>
      </c>
      <c r="C640" s="26">
        <v>776201812</v>
      </c>
      <c r="D640" s="26" t="s">
        <v>238</v>
      </c>
      <c r="E640" s="26" t="s">
        <v>18</v>
      </c>
      <c r="F640" s="27">
        <f>SUM(F641:F644)</f>
        <v>421.09999999999997</v>
      </c>
      <c r="G640" s="298"/>
      <c r="H640" s="28">
        <f>F640*G640</f>
        <v>0</v>
      </c>
      <c r="J640" s="120"/>
    </row>
    <row r="641" spans="1:10" s="118" customFormat="1" ht="13.8">
      <c r="A641" s="182"/>
      <c r="B641" s="26"/>
      <c r="C641" s="26"/>
      <c r="D641" s="29" t="s">
        <v>649</v>
      </c>
      <c r="E641" s="26"/>
      <c r="F641" s="30">
        <v>7</v>
      </c>
      <c r="G641" s="298"/>
      <c r="H641" s="28"/>
      <c r="J641" s="120"/>
    </row>
    <row r="642" spans="1:10" s="118" customFormat="1" ht="21">
      <c r="A642" s="182"/>
      <c r="B642" s="26"/>
      <c r="C642" s="26"/>
      <c r="D642" s="29" t="s">
        <v>651</v>
      </c>
      <c r="E642" s="26"/>
      <c r="F642" s="30">
        <f>39.1+29.6+8.4+5.6+40.7</f>
        <v>123.4</v>
      </c>
      <c r="G642" s="298"/>
      <c r="H642" s="28"/>
      <c r="J642" s="120"/>
    </row>
    <row r="643" spans="1:10" s="118" customFormat="1" ht="21">
      <c r="A643" s="182"/>
      <c r="B643" s="26"/>
      <c r="C643" s="26"/>
      <c r="D643" s="29" t="s">
        <v>650</v>
      </c>
      <c r="E643" s="26"/>
      <c r="F643" s="30">
        <f>12.3+11.5+16.4+1.2+3+14.3+73+56.5+3.1+27.2</f>
        <v>218.49999999999997</v>
      </c>
      <c r="G643" s="298"/>
      <c r="H643" s="28"/>
      <c r="J643" s="120"/>
    </row>
    <row r="644" spans="1:10" s="118" customFormat="1" ht="15">
      <c r="A644" s="186"/>
      <c r="B644" s="29"/>
      <c r="C644" s="29"/>
      <c r="D644" s="29" t="s">
        <v>652</v>
      </c>
      <c r="E644" s="29"/>
      <c r="F644" s="122">
        <f>10.8+13.8+44.5+2.1+1</f>
        <v>72.19999999999999</v>
      </c>
      <c r="G644" s="302"/>
      <c r="H644" s="119"/>
      <c r="I644" s="121"/>
      <c r="J644" s="141"/>
    </row>
    <row r="645" spans="1:10" s="118" customFormat="1" ht="13.8">
      <c r="A645" s="182">
        <v>260</v>
      </c>
      <c r="B645" s="26">
        <v>776</v>
      </c>
      <c r="C645" s="26">
        <v>776301812</v>
      </c>
      <c r="D645" s="26" t="s">
        <v>675</v>
      </c>
      <c r="E645" s="26" t="s">
        <v>74</v>
      </c>
      <c r="F645" s="27">
        <f>F646</f>
        <v>26.4</v>
      </c>
      <c r="G645" s="298"/>
      <c r="H645" s="28">
        <f>F645*G645</f>
        <v>0</v>
      </c>
      <c r="J645" s="120"/>
    </row>
    <row r="646" spans="1:10" s="118" customFormat="1" ht="15">
      <c r="A646" s="186"/>
      <c r="B646" s="29"/>
      <c r="C646" s="29"/>
      <c r="D646" s="29" t="s">
        <v>676</v>
      </c>
      <c r="E646" s="29"/>
      <c r="F646" s="122">
        <f>22*1.2</f>
        <v>26.4</v>
      </c>
      <c r="G646" s="302"/>
      <c r="H646" s="119"/>
      <c r="I646" s="121"/>
      <c r="J646" s="141"/>
    </row>
    <row r="647" spans="1:10" s="118" customFormat="1" ht="13.8">
      <c r="A647" s="182">
        <v>261</v>
      </c>
      <c r="B647" s="26">
        <v>776</v>
      </c>
      <c r="C647" s="26">
        <v>776121112</v>
      </c>
      <c r="D647" s="26" t="s">
        <v>333</v>
      </c>
      <c r="E647" s="26" t="s">
        <v>18</v>
      </c>
      <c r="F647" s="27">
        <f>F648</f>
        <v>269.1</v>
      </c>
      <c r="G647" s="298"/>
      <c r="H647" s="28">
        <f>F647*G647</f>
        <v>0</v>
      </c>
      <c r="J647" s="120"/>
    </row>
    <row r="648" spans="1:10" s="121" customFormat="1" ht="13.8">
      <c r="A648" s="182"/>
      <c r="B648" s="26"/>
      <c r="C648" s="26"/>
      <c r="D648" s="29" t="s">
        <v>726</v>
      </c>
      <c r="E648" s="26"/>
      <c r="F648" s="30">
        <f>F651</f>
        <v>269.1</v>
      </c>
      <c r="G648" s="303"/>
      <c r="H648" s="28"/>
      <c r="J648" s="120"/>
    </row>
    <row r="649" spans="1:10" s="118" customFormat="1" ht="21">
      <c r="A649" s="182">
        <v>262</v>
      </c>
      <c r="B649" s="26">
        <v>776</v>
      </c>
      <c r="C649" s="26">
        <v>776141111</v>
      </c>
      <c r="D649" s="26" t="s">
        <v>332</v>
      </c>
      <c r="E649" s="26" t="s">
        <v>18</v>
      </c>
      <c r="F649" s="27">
        <f>F650</f>
        <v>269.1</v>
      </c>
      <c r="G649" s="298"/>
      <c r="H649" s="28">
        <f>F649*G649</f>
        <v>0</v>
      </c>
      <c r="J649" s="120"/>
    </row>
    <row r="650" spans="1:10" s="121" customFormat="1" ht="13.8">
      <c r="A650" s="182"/>
      <c r="B650" s="26"/>
      <c r="C650" s="26"/>
      <c r="D650" s="29" t="s">
        <v>725</v>
      </c>
      <c r="E650" s="26"/>
      <c r="F650" s="30">
        <f>F651</f>
        <v>269.1</v>
      </c>
      <c r="G650" s="303"/>
      <c r="H650" s="28"/>
      <c r="J650" s="120"/>
    </row>
    <row r="651" spans="1:10" s="118" customFormat="1" ht="13.8">
      <c r="A651" s="182">
        <v>263</v>
      </c>
      <c r="B651" s="26">
        <v>776</v>
      </c>
      <c r="C651" s="26">
        <v>776221111</v>
      </c>
      <c r="D651" s="26" t="s">
        <v>334</v>
      </c>
      <c r="E651" s="26" t="s">
        <v>18</v>
      </c>
      <c r="F651" s="27">
        <f>SUM(F652:F653)</f>
        <v>269.1</v>
      </c>
      <c r="G651" s="298"/>
      <c r="H651" s="28">
        <f>F651*G651</f>
        <v>0</v>
      </c>
      <c r="J651" s="120"/>
    </row>
    <row r="652" spans="1:10" s="121" customFormat="1" ht="21">
      <c r="A652" s="182"/>
      <c r="B652" s="26"/>
      <c r="C652" s="26"/>
      <c r="D652" s="29" t="s">
        <v>723</v>
      </c>
      <c r="E652" s="26"/>
      <c r="F652" s="30">
        <f>16.6+40.6+82.9+4.9</f>
        <v>145.00000000000003</v>
      </c>
      <c r="G652" s="303"/>
      <c r="H652" s="28"/>
      <c r="J652" s="120"/>
    </row>
    <row r="653" spans="1:10" s="121" customFormat="1" ht="21">
      <c r="A653" s="182"/>
      <c r="B653" s="26"/>
      <c r="C653" s="26"/>
      <c r="D653" s="29" t="s">
        <v>724</v>
      </c>
      <c r="E653" s="26"/>
      <c r="F653" s="30">
        <f>40.5+83.6</f>
        <v>124.1</v>
      </c>
      <c r="G653" s="303"/>
      <c r="H653" s="28"/>
      <c r="J653" s="120"/>
    </row>
    <row r="654" spans="1:10" s="167" customFormat="1" ht="31.8">
      <c r="A654" s="184">
        <v>264</v>
      </c>
      <c r="B654" s="164">
        <v>284</v>
      </c>
      <c r="C654" s="164">
        <v>28411141</v>
      </c>
      <c r="D654" s="164" t="s">
        <v>335</v>
      </c>
      <c r="E654" s="164" t="s">
        <v>18</v>
      </c>
      <c r="F654" s="165">
        <f>1.15*F651</f>
        <v>309.465</v>
      </c>
      <c r="G654" s="300"/>
      <c r="H654" s="166">
        <f>F654*G654</f>
        <v>0</v>
      </c>
      <c r="J654" s="168"/>
    </row>
    <row r="655" spans="1:10" s="118" customFormat="1" ht="13.8">
      <c r="A655" s="182">
        <v>265</v>
      </c>
      <c r="B655" s="26">
        <v>998</v>
      </c>
      <c r="C655" s="26">
        <v>998776202</v>
      </c>
      <c r="D655" s="26" t="s">
        <v>871</v>
      </c>
      <c r="E655" s="26" t="s">
        <v>21</v>
      </c>
      <c r="F655" s="27">
        <v>0.38</v>
      </c>
      <c r="G655" s="298"/>
      <c r="H655" s="28">
        <f>F655*G655</f>
        <v>0</v>
      </c>
      <c r="J655" s="120"/>
    </row>
    <row r="656" spans="1:10" s="118" customFormat="1" ht="13.8">
      <c r="A656" s="182">
        <v>266</v>
      </c>
      <c r="B656" s="26">
        <v>999</v>
      </c>
      <c r="C656" s="26" t="s">
        <v>336</v>
      </c>
      <c r="D656" s="26" t="s">
        <v>337</v>
      </c>
      <c r="E656" s="26" t="s">
        <v>46</v>
      </c>
      <c r="F656" s="27">
        <v>1</v>
      </c>
      <c r="G656" s="298"/>
      <c r="H656" s="28">
        <f>F656*G656</f>
        <v>0</v>
      </c>
      <c r="J656" s="120"/>
    </row>
    <row r="657" spans="1:10" s="118" customFormat="1" ht="13.8">
      <c r="A657" s="182"/>
      <c r="B657" s="26"/>
      <c r="C657" s="26"/>
      <c r="D657" s="29" t="s">
        <v>81</v>
      </c>
      <c r="E657" s="26"/>
      <c r="F657" s="30">
        <v>1</v>
      </c>
      <c r="G657" s="298"/>
      <c r="H657" s="28"/>
      <c r="J657" s="120"/>
    </row>
    <row r="658" spans="1:8" ht="15">
      <c r="A658" s="183"/>
      <c r="B658" s="15"/>
      <c r="C658" s="15">
        <v>781</v>
      </c>
      <c r="D658" s="15" t="s">
        <v>146</v>
      </c>
      <c r="E658" s="15"/>
      <c r="F658" s="16"/>
      <c r="G658" s="299"/>
      <c r="H658" s="17">
        <f>SUM(H659:H669)</f>
        <v>0</v>
      </c>
    </row>
    <row r="659" spans="1:10" s="118" customFormat="1" ht="13.8">
      <c r="A659" s="182">
        <v>267</v>
      </c>
      <c r="B659" s="26">
        <v>781</v>
      </c>
      <c r="C659" s="26">
        <v>781121011</v>
      </c>
      <c r="D659" s="26" t="s">
        <v>145</v>
      </c>
      <c r="E659" s="26" t="s">
        <v>18</v>
      </c>
      <c r="F659" s="27">
        <f>F660</f>
        <v>278.185</v>
      </c>
      <c r="G659" s="298"/>
      <c r="H659" s="28">
        <f>F659*G659</f>
        <v>0</v>
      </c>
      <c r="J659" s="120"/>
    </row>
    <row r="660" spans="1:10" s="118" customFormat="1" ht="13.8">
      <c r="A660" s="182"/>
      <c r="B660" s="26"/>
      <c r="C660" s="26"/>
      <c r="D660" s="29" t="s">
        <v>770</v>
      </c>
      <c r="E660" s="26"/>
      <c r="F660" s="30">
        <f>F663</f>
        <v>278.185</v>
      </c>
      <c r="G660" s="298"/>
      <c r="H660" s="28"/>
      <c r="J660" s="120"/>
    </row>
    <row r="661" spans="1:10" s="118" customFormat="1" ht="13.8">
      <c r="A661" s="182">
        <v>268</v>
      </c>
      <c r="B661" s="26">
        <v>781</v>
      </c>
      <c r="C661" s="26">
        <v>781131112</v>
      </c>
      <c r="D661" s="26" t="s">
        <v>147</v>
      </c>
      <c r="E661" s="26" t="s">
        <v>18</v>
      </c>
      <c r="F661" s="27">
        <f>F662</f>
        <v>278.185</v>
      </c>
      <c r="G661" s="298"/>
      <c r="H661" s="28">
        <f>F661*G661</f>
        <v>0</v>
      </c>
      <c r="J661" s="120"/>
    </row>
    <row r="662" spans="1:10" s="118" customFormat="1" ht="13.8">
      <c r="A662" s="182"/>
      <c r="B662" s="26"/>
      <c r="C662" s="26"/>
      <c r="D662" s="29" t="s">
        <v>148</v>
      </c>
      <c r="E662" s="26"/>
      <c r="F662" s="30">
        <f>F663</f>
        <v>278.185</v>
      </c>
      <c r="G662" s="298"/>
      <c r="H662" s="28"/>
      <c r="J662" s="120"/>
    </row>
    <row r="663" spans="1:10" s="118" customFormat="1" ht="21">
      <c r="A663" s="182">
        <v>269</v>
      </c>
      <c r="B663" s="26">
        <v>781</v>
      </c>
      <c r="C663" s="26">
        <v>781474154</v>
      </c>
      <c r="D663" s="26" t="s">
        <v>149</v>
      </c>
      <c r="E663" s="26" t="s">
        <v>18</v>
      </c>
      <c r="F663" s="27">
        <f>SUM(F664:F665)</f>
        <v>278.185</v>
      </c>
      <c r="G663" s="298"/>
      <c r="H663" s="28">
        <f>F663*G663</f>
        <v>0</v>
      </c>
      <c r="J663" s="120"/>
    </row>
    <row r="664" spans="1:10" s="118" customFormat="1" ht="21">
      <c r="A664" s="182"/>
      <c r="B664" s="26"/>
      <c r="C664" s="26"/>
      <c r="D664" s="29" t="s">
        <v>771</v>
      </c>
      <c r="E664" s="26"/>
      <c r="F664" s="30">
        <f>2.05*(4+4.6+8.4+10+3*3+2.2+2+1.6+6.9+16+6+7.2+1.8+2.3)</f>
        <v>168.1</v>
      </c>
      <c r="G664" s="298"/>
      <c r="H664" s="28"/>
      <c r="J664" s="120"/>
    </row>
    <row r="665" spans="1:10" s="118" customFormat="1" ht="13.8">
      <c r="A665" s="182"/>
      <c r="B665" s="26"/>
      <c r="C665" s="26"/>
      <c r="D665" s="29" t="s">
        <v>772</v>
      </c>
      <c r="E665" s="26"/>
      <c r="F665" s="30">
        <f>2.05*(3.2*3+2.2+2+1.8+6.9+15+6.4+9.8)</f>
        <v>110.085</v>
      </c>
      <c r="G665" s="298"/>
      <c r="H665" s="28"/>
      <c r="J665" s="120"/>
    </row>
    <row r="666" spans="1:10" s="167" customFormat="1" ht="15">
      <c r="A666" s="184">
        <v>270</v>
      </c>
      <c r="B666" s="164">
        <v>597</v>
      </c>
      <c r="C666" s="164">
        <v>59761001</v>
      </c>
      <c r="D666" s="164" t="s">
        <v>328</v>
      </c>
      <c r="E666" s="164" t="s">
        <v>18</v>
      </c>
      <c r="F666" s="165">
        <f>F663*1.25</f>
        <v>347.73125</v>
      </c>
      <c r="G666" s="300"/>
      <c r="H666" s="166">
        <f>F666*G666</f>
        <v>0</v>
      </c>
      <c r="J666" s="168"/>
    </row>
    <row r="667" spans="1:10" s="118" customFormat="1" ht="13.8">
      <c r="A667" s="182">
        <v>271</v>
      </c>
      <c r="B667" s="26">
        <v>998</v>
      </c>
      <c r="C667" s="26">
        <v>998781202</v>
      </c>
      <c r="D667" s="26" t="s">
        <v>870</v>
      </c>
      <c r="E667" s="26" t="s">
        <v>21</v>
      </c>
      <c r="F667" s="27">
        <v>3.37</v>
      </c>
      <c r="G667" s="298"/>
      <c r="H667" s="28">
        <f>F667*G667</f>
        <v>0</v>
      </c>
      <c r="J667" s="120"/>
    </row>
    <row r="668" spans="1:10" s="118" customFormat="1" ht="13.8">
      <c r="A668" s="182">
        <v>272</v>
      </c>
      <c r="B668" s="26">
        <v>999</v>
      </c>
      <c r="C668" s="26" t="s">
        <v>180</v>
      </c>
      <c r="D668" s="26" t="s">
        <v>181</v>
      </c>
      <c r="E668" s="26" t="s">
        <v>46</v>
      </c>
      <c r="F668" s="27">
        <v>1</v>
      </c>
      <c r="G668" s="298"/>
      <c r="H668" s="28">
        <f>F668*G668</f>
        <v>0</v>
      </c>
      <c r="J668" s="120"/>
    </row>
    <row r="669" spans="1:10" s="118" customFormat="1" ht="13.8">
      <c r="A669" s="182"/>
      <c r="B669" s="26"/>
      <c r="C669" s="26"/>
      <c r="D669" s="29" t="s">
        <v>81</v>
      </c>
      <c r="E669" s="26"/>
      <c r="F669" s="30">
        <v>1</v>
      </c>
      <c r="G669" s="298"/>
      <c r="H669" s="28"/>
      <c r="J669" s="120"/>
    </row>
    <row r="670" spans="1:8" ht="15">
      <c r="A670" s="183"/>
      <c r="B670" s="15"/>
      <c r="C670" s="15">
        <v>783</v>
      </c>
      <c r="D670" s="15" t="s">
        <v>452</v>
      </c>
      <c r="E670" s="15"/>
      <c r="F670" s="16"/>
      <c r="G670" s="299"/>
      <c r="H670" s="17">
        <f>SUM(H671:H692)</f>
        <v>0</v>
      </c>
    </row>
    <row r="671" spans="1:10" s="118" customFormat="1" ht="13.8">
      <c r="A671" s="182">
        <v>273</v>
      </c>
      <c r="B671" s="26">
        <v>783</v>
      </c>
      <c r="C671" s="26">
        <v>783301401</v>
      </c>
      <c r="D671" s="26" t="s">
        <v>456</v>
      </c>
      <c r="E671" s="26" t="s">
        <v>18</v>
      </c>
      <c r="F671" s="27">
        <f>F672</f>
        <v>81.73399999999998</v>
      </c>
      <c r="G671" s="298"/>
      <c r="H671" s="28">
        <f>F671*G671</f>
        <v>0</v>
      </c>
      <c r="J671" s="120"/>
    </row>
    <row r="672" spans="1:10" s="118" customFormat="1" ht="13.8">
      <c r="A672" s="182"/>
      <c r="B672" s="26"/>
      <c r="C672" s="26"/>
      <c r="D672" s="29" t="s">
        <v>457</v>
      </c>
      <c r="E672" s="26"/>
      <c r="F672" s="30">
        <f>F681</f>
        <v>81.73399999999998</v>
      </c>
      <c r="G672" s="298"/>
      <c r="H672" s="28"/>
      <c r="J672" s="120"/>
    </row>
    <row r="673" spans="1:10" s="118" customFormat="1" ht="13.8">
      <c r="A673" s="182">
        <v>274</v>
      </c>
      <c r="B673" s="26">
        <v>783</v>
      </c>
      <c r="C673" s="26">
        <v>783301311</v>
      </c>
      <c r="D673" s="26" t="s">
        <v>458</v>
      </c>
      <c r="E673" s="26" t="s">
        <v>18</v>
      </c>
      <c r="F673" s="27">
        <f>F674</f>
        <v>81.73399999999998</v>
      </c>
      <c r="G673" s="298"/>
      <c r="H673" s="28">
        <f>F673*G673</f>
        <v>0</v>
      </c>
      <c r="J673" s="120"/>
    </row>
    <row r="674" spans="1:10" s="118" customFormat="1" ht="13.8">
      <c r="A674" s="182"/>
      <c r="B674" s="26"/>
      <c r="C674" s="26"/>
      <c r="D674" s="29" t="s">
        <v>459</v>
      </c>
      <c r="E674" s="26"/>
      <c r="F674" s="30">
        <f>F681</f>
        <v>81.73399999999998</v>
      </c>
      <c r="G674" s="298"/>
      <c r="H674" s="28"/>
      <c r="J674" s="120"/>
    </row>
    <row r="675" spans="1:10" s="118" customFormat="1" ht="13.8">
      <c r="A675" s="182">
        <v>275</v>
      </c>
      <c r="B675" s="26">
        <v>783</v>
      </c>
      <c r="C675" s="26">
        <v>783306801</v>
      </c>
      <c r="D675" s="26" t="s">
        <v>453</v>
      </c>
      <c r="E675" s="26" t="s">
        <v>18</v>
      </c>
      <c r="F675" s="27">
        <f>SUM(F676:F680)</f>
        <v>81.73399999999998</v>
      </c>
      <c r="G675" s="298"/>
      <c r="H675" s="28">
        <f>F675*G675</f>
        <v>0</v>
      </c>
      <c r="J675" s="120"/>
    </row>
    <row r="676" spans="1:10" s="118" customFormat="1" ht="13.8">
      <c r="A676" s="182"/>
      <c r="B676" s="26"/>
      <c r="C676" s="26"/>
      <c r="D676" s="29" t="s">
        <v>454</v>
      </c>
      <c r="E676" s="26"/>
      <c r="F676" s="30">
        <f>13.4*(0.7+0.7+0.7)+0.3*134</f>
        <v>68.33999999999999</v>
      </c>
      <c r="G676" s="298"/>
      <c r="H676" s="28"/>
      <c r="J676" s="120"/>
    </row>
    <row r="677" spans="1:10" s="118" customFormat="1" ht="13.8">
      <c r="A677" s="182"/>
      <c r="B677" s="26"/>
      <c r="C677" s="26"/>
      <c r="D677" s="29" t="s">
        <v>455</v>
      </c>
      <c r="E677" s="26"/>
      <c r="F677" s="30">
        <f>7.4*0.7+74*(0.1*0.3)</f>
        <v>7.3999999999999995</v>
      </c>
      <c r="G677" s="298"/>
      <c r="H677" s="28"/>
      <c r="J677" s="120"/>
    </row>
    <row r="678" spans="1:10" s="118" customFormat="1" ht="21">
      <c r="A678" s="182"/>
      <c r="B678" s="26"/>
      <c r="C678" s="26"/>
      <c r="D678" s="29" t="s">
        <v>609</v>
      </c>
      <c r="E678" s="26"/>
      <c r="F678" s="30">
        <f>2*(0.8*1.35)+(0.8+2.7)*0.3</f>
        <v>3.21</v>
      </c>
      <c r="G678" s="298"/>
      <c r="H678" s="28"/>
      <c r="J678" s="120"/>
    </row>
    <row r="679" spans="1:10" s="118" customFormat="1" ht="13.8">
      <c r="A679" s="182"/>
      <c r="B679" s="26"/>
      <c r="C679" s="26"/>
      <c r="D679" s="29" t="s">
        <v>630</v>
      </c>
      <c r="E679" s="26"/>
      <c r="F679" s="30">
        <f>0.3*(0.6+2*1.97)</f>
        <v>1.3619999999999999</v>
      </c>
      <c r="G679" s="298"/>
      <c r="H679" s="28"/>
      <c r="J679" s="120"/>
    </row>
    <row r="680" spans="1:10" s="118" customFormat="1" ht="13.8">
      <c r="A680" s="182"/>
      <c r="B680" s="26"/>
      <c r="C680" s="26"/>
      <c r="D680" s="29" t="s">
        <v>636</v>
      </c>
      <c r="E680" s="26"/>
      <c r="F680" s="30">
        <f>0.3*(0.8+2*1.97)</f>
        <v>1.422</v>
      </c>
      <c r="G680" s="298"/>
      <c r="H680" s="28"/>
      <c r="J680" s="120"/>
    </row>
    <row r="681" spans="1:10" s="118" customFormat="1" ht="13.8">
      <c r="A681" s="182">
        <v>276</v>
      </c>
      <c r="B681" s="26">
        <v>783</v>
      </c>
      <c r="C681" s="26">
        <v>783334201</v>
      </c>
      <c r="D681" s="26" t="s">
        <v>460</v>
      </c>
      <c r="E681" s="26" t="s">
        <v>18</v>
      </c>
      <c r="F681" s="27">
        <f>SUM(F682:F686)</f>
        <v>81.73399999999998</v>
      </c>
      <c r="G681" s="298"/>
      <c r="H681" s="28">
        <f>F681*G681</f>
        <v>0</v>
      </c>
      <c r="J681" s="120"/>
    </row>
    <row r="682" spans="1:10" s="118" customFormat="1" ht="13.8">
      <c r="A682" s="182"/>
      <c r="B682" s="26"/>
      <c r="C682" s="26"/>
      <c r="D682" s="29" t="s">
        <v>454</v>
      </c>
      <c r="E682" s="26"/>
      <c r="F682" s="30">
        <f>13.4*(0.7+0.7+0.7)+0.3*134</f>
        <v>68.33999999999999</v>
      </c>
      <c r="G682" s="298"/>
      <c r="H682" s="28"/>
      <c r="J682" s="120"/>
    </row>
    <row r="683" spans="1:10" s="118" customFormat="1" ht="13.8">
      <c r="A683" s="182"/>
      <c r="B683" s="26"/>
      <c r="C683" s="26"/>
      <c r="D683" s="29" t="s">
        <v>455</v>
      </c>
      <c r="E683" s="26"/>
      <c r="F683" s="30">
        <f>7.4*0.7+74*(0.1*0.3)</f>
        <v>7.3999999999999995</v>
      </c>
      <c r="G683" s="298"/>
      <c r="H683" s="28"/>
      <c r="J683" s="120"/>
    </row>
    <row r="684" spans="1:10" s="118" customFormat="1" ht="21">
      <c r="A684" s="182"/>
      <c r="B684" s="26"/>
      <c r="C684" s="26"/>
      <c r="D684" s="29" t="s">
        <v>609</v>
      </c>
      <c r="E684" s="26"/>
      <c r="F684" s="30">
        <f>2*(0.8*1.35)+(0.8+2.7)*0.3</f>
        <v>3.21</v>
      </c>
      <c r="G684" s="298"/>
      <c r="H684" s="28"/>
      <c r="J684" s="120"/>
    </row>
    <row r="685" spans="1:10" s="118" customFormat="1" ht="13.8">
      <c r="A685" s="182"/>
      <c r="B685" s="26"/>
      <c r="C685" s="26"/>
      <c r="D685" s="29" t="s">
        <v>630</v>
      </c>
      <c r="E685" s="26"/>
      <c r="F685" s="30">
        <f>0.3*(0.6+2*1.97)</f>
        <v>1.3619999999999999</v>
      </c>
      <c r="G685" s="298"/>
      <c r="H685" s="28"/>
      <c r="J685" s="120"/>
    </row>
    <row r="686" spans="1:10" s="118" customFormat="1" ht="13.8">
      <c r="A686" s="182"/>
      <c r="B686" s="26"/>
      <c r="C686" s="26"/>
      <c r="D686" s="29" t="s">
        <v>636</v>
      </c>
      <c r="E686" s="26"/>
      <c r="F686" s="30">
        <f>0.3*(0.8+2*1.97)</f>
        <v>1.422</v>
      </c>
      <c r="G686" s="298"/>
      <c r="H686" s="28"/>
      <c r="J686" s="120"/>
    </row>
    <row r="687" spans="1:10" s="118" customFormat="1" ht="13.8">
      <c r="A687" s="182">
        <v>277</v>
      </c>
      <c r="B687" s="26">
        <v>783</v>
      </c>
      <c r="C687" s="26">
        <v>783337101</v>
      </c>
      <c r="D687" s="26" t="s">
        <v>461</v>
      </c>
      <c r="E687" s="26" t="s">
        <v>18</v>
      </c>
      <c r="F687" s="27">
        <f>SUM(F688:F692)</f>
        <v>163.46799999999996</v>
      </c>
      <c r="G687" s="298"/>
      <c r="H687" s="28">
        <f>F687*G687</f>
        <v>0</v>
      </c>
      <c r="J687" s="120"/>
    </row>
    <row r="688" spans="1:10" s="118" customFormat="1" ht="13.8">
      <c r="A688" s="182"/>
      <c r="B688" s="26"/>
      <c r="C688" s="26"/>
      <c r="D688" s="29" t="s">
        <v>462</v>
      </c>
      <c r="E688" s="26"/>
      <c r="F688" s="30">
        <f>2*(13.4*(0.7+0.7+0.7)+0.3*134)</f>
        <v>136.67999999999998</v>
      </c>
      <c r="G688" s="298"/>
      <c r="H688" s="28"/>
      <c r="J688" s="120"/>
    </row>
    <row r="689" spans="1:10" s="118" customFormat="1" ht="13.8">
      <c r="A689" s="182"/>
      <c r="B689" s="26"/>
      <c r="C689" s="26"/>
      <c r="D689" s="29" t="s">
        <v>463</v>
      </c>
      <c r="E689" s="26"/>
      <c r="F689" s="30">
        <f>2*(7.4*0.7+74*(0.1*0.3))</f>
        <v>14.799999999999999</v>
      </c>
      <c r="G689" s="298"/>
      <c r="H689" s="28"/>
      <c r="J689" s="120"/>
    </row>
    <row r="690" spans="1:10" s="118" customFormat="1" ht="21">
      <c r="A690" s="182"/>
      <c r="B690" s="26"/>
      <c r="C690" s="26"/>
      <c r="D690" s="29" t="s">
        <v>631</v>
      </c>
      <c r="E690" s="26"/>
      <c r="F690" s="30">
        <f>2*(2*(0.8*1.35)+(0.8+2.7)*0.3)</f>
        <v>6.42</v>
      </c>
      <c r="G690" s="298"/>
      <c r="H690" s="28"/>
      <c r="J690" s="120"/>
    </row>
    <row r="691" spans="1:10" s="118" customFormat="1" ht="13.8">
      <c r="A691" s="182"/>
      <c r="B691" s="26"/>
      <c r="C691" s="26"/>
      <c r="D691" s="29" t="s">
        <v>632</v>
      </c>
      <c r="E691" s="26"/>
      <c r="F691" s="30">
        <f>2*(0.3*(0.6+2*1.97))</f>
        <v>2.7239999999999998</v>
      </c>
      <c r="G691" s="298"/>
      <c r="H691" s="28"/>
      <c r="J691" s="120"/>
    </row>
    <row r="692" spans="1:10" s="118" customFormat="1" ht="13.8">
      <c r="A692" s="182"/>
      <c r="B692" s="26"/>
      <c r="C692" s="26"/>
      <c r="D692" s="29" t="s">
        <v>637</v>
      </c>
      <c r="E692" s="26"/>
      <c r="F692" s="30">
        <f>2*(0.3*(0.8+2*1.97))</f>
        <v>2.844</v>
      </c>
      <c r="G692" s="298"/>
      <c r="H692" s="28"/>
      <c r="J692" s="120"/>
    </row>
    <row r="693" spans="1:8" ht="15">
      <c r="A693" s="183"/>
      <c r="B693" s="15"/>
      <c r="C693" s="15">
        <v>784</v>
      </c>
      <c r="D693" s="15" t="s">
        <v>163</v>
      </c>
      <c r="E693" s="15"/>
      <c r="F693" s="16"/>
      <c r="G693" s="299"/>
      <c r="H693" s="17">
        <f>SUM(H694:H698)</f>
        <v>0</v>
      </c>
    </row>
    <row r="694" spans="1:10" s="118" customFormat="1" ht="13.8">
      <c r="A694" s="182">
        <v>278</v>
      </c>
      <c r="B694" s="26">
        <v>784</v>
      </c>
      <c r="C694" s="26">
        <v>784181101</v>
      </c>
      <c r="D694" s="26" t="s">
        <v>164</v>
      </c>
      <c r="E694" s="26" t="s">
        <v>18</v>
      </c>
      <c r="F694" s="27">
        <f>F695</f>
        <v>1836.8200000000002</v>
      </c>
      <c r="G694" s="298"/>
      <c r="H694" s="28">
        <f>F694*G694</f>
        <v>0</v>
      </c>
      <c r="J694" s="120"/>
    </row>
    <row r="695" spans="1:10" s="118" customFormat="1" ht="13.8">
      <c r="A695" s="182"/>
      <c r="B695" s="26"/>
      <c r="C695" s="26"/>
      <c r="D695" s="29" t="s">
        <v>165</v>
      </c>
      <c r="E695" s="26"/>
      <c r="F695" s="30">
        <f>F696</f>
        <v>1836.8200000000002</v>
      </c>
      <c r="G695" s="298"/>
      <c r="H695" s="28"/>
      <c r="J695" s="120"/>
    </row>
    <row r="696" spans="1:10" s="118" customFormat="1" ht="13.8">
      <c r="A696" s="182">
        <v>279</v>
      </c>
      <c r="B696" s="26">
        <v>784</v>
      </c>
      <c r="C696" s="26">
        <v>784211101</v>
      </c>
      <c r="D696" s="26" t="s">
        <v>166</v>
      </c>
      <c r="E696" s="26" t="s">
        <v>18</v>
      </c>
      <c r="F696" s="27">
        <f>SUM(F697:F698)</f>
        <v>1836.8200000000002</v>
      </c>
      <c r="G696" s="298"/>
      <c r="H696" s="28">
        <f>F696*G696</f>
        <v>0</v>
      </c>
      <c r="J696" s="120"/>
    </row>
    <row r="697" spans="1:10" s="118" customFormat="1" ht="13.8">
      <c r="A697" s="182"/>
      <c r="B697" s="26"/>
      <c r="C697" s="26"/>
      <c r="D697" s="29" t="s">
        <v>327</v>
      </c>
      <c r="E697" s="26"/>
      <c r="F697" s="30">
        <f>F357</f>
        <v>148.5</v>
      </c>
      <c r="G697" s="298"/>
      <c r="H697" s="28"/>
      <c r="J697" s="120"/>
    </row>
    <row r="698" spans="1:10" s="118" customFormat="1" ht="13.8">
      <c r="A698" s="182"/>
      <c r="B698" s="26"/>
      <c r="C698" s="26"/>
      <c r="D698" s="29" t="s">
        <v>167</v>
      </c>
      <c r="E698" s="26"/>
      <c r="F698" s="30">
        <f>F82+F89+F94</f>
        <v>1688.3200000000002</v>
      </c>
      <c r="G698" s="298"/>
      <c r="H698" s="28"/>
      <c r="J698" s="120"/>
    </row>
    <row r="699" spans="1:8" ht="15">
      <c r="A699" s="183"/>
      <c r="B699" s="15"/>
      <c r="C699" s="15">
        <v>786</v>
      </c>
      <c r="D699" s="15" t="s">
        <v>191</v>
      </c>
      <c r="E699" s="15"/>
      <c r="F699" s="16"/>
      <c r="G699" s="299"/>
      <c r="H699" s="17">
        <f>SUM(H700:H723)</f>
        <v>0</v>
      </c>
    </row>
    <row r="700" spans="1:10" s="118" customFormat="1" ht="13.8">
      <c r="A700" s="182">
        <v>280</v>
      </c>
      <c r="B700" s="26">
        <v>786</v>
      </c>
      <c r="C700" s="26" t="s">
        <v>192</v>
      </c>
      <c r="D700" s="26" t="s">
        <v>193</v>
      </c>
      <c r="E700" s="26" t="s">
        <v>26</v>
      </c>
      <c r="F700" s="27">
        <f>F701</f>
        <v>4</v>
      </c>
      <c r="G700" s="298"/>
      <c r="H700" s="28">
        <f>F700*G700</f>
        <v>0</v>
      </c>
      <c r="J700" s="120"/>
    </row>
    <row r="701" spans="1:11" s="172" customFormat="1" ht="31.8">
      <c r="A701" s="207"/>
      <c r="B701" s="205"/>
      <c r="C701" s="205"/>
      <c r="D701" s="176" t="s">
        <v>507</v>
      </c>
      <c r="E701" s="205"/>
      <c r="F701" s="177">
        <v>4</v>
      </c>
      <c r="G701" s="304"/>
      <c r="H701" s="208"/>
      <c r="J701" s="141"/>
      <c r="K701" s="141"/>
    </row>
    <row r="702" spans="1:11" s="172" customFormat="1" ht="15">
      <c r="A702" s="207"/>
      <c r="B702" s="205"/>
      <c r="C702" s="205"/>
      <c r="D702" s="176" t="s">
        <v>506</v>
      </c>
      <c r="E702" s="205"/>
      <c r="F702" s="177"/>
      <c r="G702" s="304"/>
      <c r="H702" s="208"/>
      <c r="J702" s="141"/>
      <c r="K702" s="141"/>
    </row>
    <row r="703" spans="1:10" s="118" customFormat="1" ht="13.8">
      <c r="A703" s="182">
        <v>281</v>
      </c>
      <c r="B703" s="26">
        <v>786</v>
      </c>
      <c r="C703" s="26" t="s">
        <v>194</v>
      </c>
      <c r="D703" s="26" t="s">
        <v>508</v>
      </c>
      <c r="E703" s="26" t="s">
        <v>26</v>
      </c>
      <c r="F703" s="27">
        <f>F704</f>
        <v>4</v>
      </c>
      <c r="G703" s="298"/>
      <c r="H703" s="28">
        <f>F703*G703</f>
        <v>0</v>
      </c>
      <c r="J703" s="120"/>
    </row>
    <row r="704" spans="1:11" s="172" customFormat="1" ht="31.8">
      <c r="A704" s="207"/>
      <c r="B704" s="205"/>
      <c r="C704" s="205"/>
      <c r="D704" s="176" t="s">
        <v>507</v>
      </c>
      <c r="E704" s="205"/>
      <c r="F704" s="177">
        <v>4</v>
      </c>
      <c r="G704" s="304"/>
      <c r="H704" s="208"/>
      <c r="J704" s="141"/>
      <c r="K704" s="141"/>
    </row>
    <row r="705" spans="1:11" s="172" customFormat="1" ht="15">
      <c r="A705" s="207"/>
      <c r="B705" s="205"/>
      <c r="C705" s="205"/>
      <c r="D705" s="176" t="s">
        <v>506</v>
      </c>
      <c r="E705" s="205"/>
      <c r="F705" s="177"/>
      <c r="G705" s="304"/>
      <c r="H705" s="208"/>
      <c r="J705" s="141"/>
      <c r="K705" s="141"/>
    </row>
    <row r="706" spans="1:10" s="118" customFormat="1" ht="13.8">
      <c r="A706" s="182">
        <v>282</v>
      </c>
      <c r="B706" s="26">
        <v>786</v>
      </c>
      <c r="C706" s="26" t="s">
        <v>195</v>
      </c>
      <c r="D706" s="26" t="s">
        <v>509</v>
      </c>
      <c r="E706" s="26" t="s">
        <v>26</v>
      </c>
      <c r="F706" s="27">
        <f>F707</f>
        <v>2</v>
      </c>
      <c r="G706" s="298"/>
      <c r="H706" s="28">
        <f>F706*G706</f>
        <v>0</v>
      </c>
      <c r="J706" s="120"/>
    </row>
    <row r="707" spans="1:11" s="172" customFormat="1" ht="31.8">
      <c r="A707" s="207"/>
      <c r="B707" s="205"/>
      <c r="C707" s="205"/>
      <c r="D707" s="176" t="s">
        <v>507</v>
      </c>
      <c r="E707" s="205"/>
      <c r="F707" s="177">
        <v>2</v>
      </c>
      <c r="G707" s="304"/>
      <c r="H707" s="208"/>
      <c r="J707" s="141"/>
      <c r="K707" s="141"/>
    </row>
    <row r="708" spans="1:11" s="172" customFormat="1" ht="15">
      <c r="A708" s="207"/>
      <c r="B708" s="205"/>
      <c r="C708" s="205"/>
      <c r="D708" s="176" t="s">
        <v>506</v>
      </c>
      <c r="E708" s="205"/>
      <c r="F708" s="177"/>
      <c r="G708" s="304"/>
      <c r="H708" s="208"/>
      <c r="J708" s="141"/>
      <c r="K708" s="141"/>
    </row>
    <row r="709" spans="1:10" s="118" customFormat="1" ht="13.8">
      <c r="A709" s="182">
        <v>283</v>
      </c>
      <c r="B709" s="26">
        <v>786</v>
      </c>
      <c r="C709" s="26" t="s">
        <v>196</v>
      </c>
      <c r="D709" s="26" t="s">
        <v>510</v>
      </c>
      <c r="E709" s="26" t="s">
        <v>26</v>
      </c>
      <c r="F709" s="27">
        <f>F710</f>
        <v>2</v>
      </c>
      <c r="G709" s="298"/>
      <c r="H709" s="28">
        <f>F709*G709</f>
        <v>0</v>
      </c>
      <c r="J709" s="120"/>
    </row>
    <row r="710" spans="1:11" s="172" customFormat="1" ht="31.8">
      <c r="A710" s="207"/>
      <c r="B710" s="205"/>
      <c r="C710" s="205"/>
      <c r="D710" s="176" t="s">
        <v>507</v>
      </c>
      <c r="E710" s="205"/>
      <c r="F710" s="177">
        <v>2</v>
      </c>
      <c r="G710" s="304"/>
      <c r="H710" s="208"/>
      <c r="J710" s="141"/>
      <c r="K710" s="141"/>
    </row>
    <row r="711" spans="1:11" s="172" customFormat="1" ht="15">
      <c r="A711" s="207"/>
      <c r="B711" s="205"/>
      <c r="C711" s="205"/>
      <c r="D711" s="176" t="s">
        <v>506</v>
      </c>
      <c r="E711" s="205"/>
      <c r="F711" s="177"/>
      <c r="G711" s="304"/>
      <c r="H711" s="208"/>
      <c r="J711" s="141"/>
      <c r="K711" s="141"/>
    </row>
    <row r="712" spans="1:10" s="118" customFormat="1" ht="13.8">
      <c r="A712" s="182">
        <v>284</v>
      </c>
      <c r="B712" s="26">
        <v>786</v>
      </c>
      <c r="C712" s="26" t="s">
        <v>511</v>
      </c>
      <c r="D712" s="26" t="s">
        <v>512</v>
      </c>
      <c r="E712" s="26" t="s">
        <v>26</v>
      </c>
      <c r="F712" s="27">
        <f>F713</f>
        <v>2</v>
      </c>
      <c r="G712" s="298"/>
      <c r="H712" s="28">
        <f>F712*G712</f>
        <v>0</v>
      </c>
      <c r="J712" s="120"/>
    </row>
    <row r="713" spans="1:11" s="172" customFormat="1" ht="31.8">
      <c r="A713" s="207"/>
      <c r="B713" s="205"/>
      <c r="C713" s="205"/>
      <c r="D713" s="176" t="s">
        <v>507</v>
      </c>
      <c r="E713" s="205"/>
      <c r="F713" s="177">
        <v>2</v>
      </c>
      <c r="G713" s="304"/>
      <c r="H713" s="208"/>
      <c r="J713" s="141"/>
      <c r="K713" s="141"/>
    </row>
    <row r="714" spans="1:11" s="172" customFormat="1" ht="15">
      <c r="A714" s="207"/>
      <c r="B714" s="205"/>
      <c r="C714" s="205"/>
      <c r="D714" s="176" t="s">
        <v>506</v>
      </c>
      <c r="E714" s="205"/>
      <c r="F714" s="177"/>
      <c r="G714" s="304"/>
      <c r="H714" s="208"/>
      <c r="J714" s="141"/>
      <c r="K714" s="141"/>
    </row>
    <row r="715" spans="1:10" s="118" customFormat="1" ht="13.8">
      <c r="A715" s="182">
        <v>285</v>
      </c>
      <c r="B715" s="26">
        <v>786</v>
      </c>
      <c r="C715" s="26" t="s">
        <v>513</v>
      </c>
      <c r="D715" s="26" t="s">
        <v>514</v>
      </c>
      <c r="E715" s="26" t="s">
        <v>26</v>
      </c>
      <c r="F715" s="27">
        <f>F716</f>
        <v>2</v>
      </c>
      <c r="G715" s="298"/>
      <c r="H715" s="28">
        <f>F715*G715</f>
        <v>0</v>
      </c>
      <c r="J715" s="120"/>
    </row>
    <row r="716" spans="1:11" s="172" customFormat="1" ht="15">
      <c r="A716" s="207"/>
      <c r="B716" s="205"/>
      <c r="C716" s="205"/>
      <c r="D716" s="176" t="s">
        <v>515</v>
      </c>
      <c r="E716" s="205"/>
      <c r="F716" s="177">
        <v>2</v>
      </c>
      <c r="G716" s="304"/>
      <c r="H716" s="208"/>
      <c r="J716" s="141"/>
      <c r="K716" s="141"/>
    </row>
    <row r="717" spans="1:11" s="172" customFormat="1" ht="15">
      <c r="A717" s="207"/>
      <c r="B717" s="205"/>
      <c r="C717" s="205"/>
      <c r="D717" s="176" t="s">
        <v>506</v>
      </c>
      <c r="E717" s="205"/>
      <c r="F717" s="177"/>
      <c r="G717" s="304"/>
      <c r="H717" s="208"/>
      <c r="J717" s="141"/>
      <c r="K717" s="141"/>
    </row>
    <row r="718" spans="1:10" s="118" customFormat="1" ht="13.8">
      <c r="A718" s="182">
        <v>286</v>
      </c>
      <c r="B718" s="26">
        <v>786</v>
      </c>
      <c r="C718" s="26" t="s">
        <v>516</v>
      </c>
      <c r="D718" s="26" t="s">
        <v>517</v>
      </c>
      <c r="E718" s="26" t="s">
        <v>26</v>
      </c>
      <c r="F718" s="27">
        <f>F719</f>
        <v>2</v>
      </c>
      <c r="G718" s="298"/>
      <c r="H718" s="28">
        <f>F718*G718</f>
        <v>0</v>
      </c>
      <c r="J718" s="120"/>
    </row>
    <row r="719" spans="1:11" s="172" customFormat="1" ht="15">
      <c r="A719" s="207"/>
      <c r="B719" s="205"/>
      <c r="C719" s="205"/>
      <c r="D719" s="176" t="s">
        <v>515</v>
      </c>
      <c r="E719" s="205"/>
      <c r="F719" s="177">
        <v>2</v>
      </c>
      <c r="G719" s="304"/>
      <c r="H719" s="208"/>
      <c r="J719" s="141"/>
      <c r="K719" s="141"/>
    </row>
    <row r="720" spans="1:11" s="172" customFormat="1" ht="15">
      <c r="A720" s="207"/>
      <c r="B720" s="205"/>
      <c r="C720" s="205"/>
      <c r="D720" s="176" t="s">
        <v>506</v>
      </c>
      <c r="E720" s="205"/>
      <c r="F720" s="177"/>
      <c r="G720" s="304"/>
      <c r="H720" s="208"/>
      <c r="J720" s="141"/>
      <c r="K720" s="141"/>
    </row>
    <row r="721" spans="1:10" s="118" customFormat="1" ht="13.8">
      <c r="A721" s="182">
        <v>287</v>
      </c>
      <c r="B721" s="26">
        <v>998</v>
      </c>
      <c r="C721" s="26">
        <v>998786202</v>
      </c>
      <c r="D721" s="26" t="s">
        <v>869</v>
      </c>
      <c r="E721" s="26" t="s">
        <v>21</v>
      </c>
      <c r="F721" s="27">
        <v>0.33</v>
      </c>
      <c r="G721" s="298"/>
      <c r="H721" s="28">
        <f>F721*G721</f>
        <v>0</v>
      </c>
      <c r="J721" s="120"/>
    </row>
    <row r="722" spans="1:10" s="118" customFormat="1" ht="13.8">
      <c r="A722" s="182">
        <v>288</v>
      </c>
      <c r="B722" s="26">
        <v>999</v>
      </c>
      <c r="C722" s="26" t="s">
        <v>197</v>
      </c>
      <c r="D722" s="26" t="s">
        <v>198</v>
      </c>
      <c r="E722" s="26" t="s">
        <v>46</v>
      </c>
      <c r="F722" s="27">
        <v>1</v>
      </c>
      <c r="G722" s="298"/>
      <c r="H722" s="28">
        <f>F722*G722</f>
        <v>0</v>
      </c>
      <c r="J722" s="120"/>
    </row>
    <row r="723" spans="1:10" s="118" customFormat="1" ht="13.8">
      <c r="A723" s="182"/>
      <c r="B723" s="26"/>
      <c r="C723" s="26"/>
      <c r="D723" s="29" t="s">
        <v>81</v>
      </c>
      <c r="E723" s="26"/>
      <c r="F723" s="30">
        <v>1</v>
      </c>
      <c r="G723" s="298"/>
      <c r="H723" s="28"/>
      <c r="J723" s="120"/>
    </row>
    <row r="724" spans="1:8" ht="15">
      <c r="A724" s="182"/>
      <c r="B724" s="15"/>
      <c r="C724" s="15">
        <v>790</v>
      </c>
      <c r="D724" s="15" t="s">
        <v>61</v>
      </c>
      <c r="E724" s="15"/>
      <c r="F724" s="16"/>
      <c r="G724" s="299"/>
      <c r="H724" s="17">
        <f>SUM(H725:H762)</f>
        <v>0</v>
      </c>
    </row>
    <row r="725" spans="1:10" s="118" customFormat="1" ht="13.8">
      <c r="A725" s="182">
        <v>289</v>
      </c>
      <c r="B725" s="31" t="s">
        <v>77</v>
      </c>
      <c r="C725" s="26" t="s">
        <v>76</v>
      </c>
      <c r="D725" s="26" t="s">
        <v>481</v>
      </c>
      <c r="E725" s="26" t="s">
        <v>74</v>
      </c>
      <c r="F725" s="27">
        <f>F726</f>
        <v>341</v>
      </c>
      <c r="G725" s="298"/>
      <c r="H725" s="28">
        <f>F725*G725</f>
        <v>0</v>
      </c>
      <c r="J725" s="120"/>
    </row>
    <row r="726" spans="1:10" s="118" customFormat="1" ht="15">
      <c r="A726" s="282"/>
      <c r="B726" s="29"/>
      <c r="C726" s="29"/>
      <c r="D726" s="29" t="s">
        <v>200</v>
      </c>
      <c r="E726" s="29"/>
      <c r="F726" s="122">
        <v>341</v>
      </c>
      <c r="G726" s="302"/>
      <c r="H726" s="119"/>
      <c r="I726" s="121"/>
      <c r="J726" s="141"/>
    </row>
    <row r="727" spans="1:10" s="118" customFormat="1" ht="13.8">
      <c r="A727" s="182">
        <v>290</v>
      </c>
      <c r="B727" s="31" t="s">
        <v>77</v>
      </c>
      <c r="C727" s="26" t="s">
        <v>201</v>
      </c>
      <c r="D727" s="26" t="s">
        <v>482</v>
      </c>
      <c r="E727" s="26" t="s">
        <v>74</v>
      </c>
      <c r="F727" s="27">
        <f>F729</f>
        <v>5.4</v>
      </c>
      <c r="G727" s="298"/>
      <c r="H727" s="28">
        <f>F727*G727</f>
        <v>0</v>
      </c>
      <c r="J727" s="120"/>
    </row>
    <row r="728" spans="1:10" s="118" customFormat="1" ht="15">
      <c r="A728" s="186"/>
      <c r="B728" s="29"/>
      <c r="C728" s="29"/>
      <c r="D728" s="29" t="s">
        <v>207</v>
      </c>
      <c r="E728" s="29"/>
      <c r="F728" s="122"/>
      <c r="G728" s="302"/>
      <c r="H728" s="119"/>
      <c r="I728" s="121"/>
      <c r="J728" s="141"/>
    </row>
    <row r="729" spans="1:10" s="118" customFormat="1" ht="15">
      <c r="A729" s="186"/>
      <c r="B729" s="29"/>
      <c r="C729" s="29"/>
      <c r="D729" s="29" t="s">
        <v>200</v>
      </c>
      <c r="E729" s="29"/>
      <c r="F729" s="122">
        <v>5.4</v>
      </c>
      <c r="G729" s="302"/>
      <c r="H729" s="119"/>
      <c r="I729" s="121"/>
      <c r="J729" s="141"/>
    </row>
    <row r="730" spans="1:10" s="118" customFormat="1" ht="13.8">
      <c r="A730" s="146" t="s">
        <v>1704</v>
      </c>
      <c r="B730" s="31" t="s">
        <v>77</v>
      </c>
      <c r="C730" s="26" t="s">
        <v>202</v>
      </c>
      <c r="D730" s="26" t="s">
        <v>483</v>
      </c>
      <c r="E730" s="26" t="s">
        <v>74</v>
      </c>
      <c r="F730" s="27">
        <f>F732</f>
        <v>38.9</v>
      </c>
      <c r="G730" s="298"/>
      <c r="H730" s="28">
        <f>F730*G730</f>
        <v>0</v>
      </c>
      <c r="J730" s="120"/>
    </row>
    <row r="731" spans="1:10" s="118" customFormat="1" ht="15">
      <c r="A731" s="186"/>
      <c r="B731" s="29"/>
      <c r="C731" s="29"/>
      <c r="D731" s="29" t="s">
        <v>208</v>
      </c>
      <c r="E731" s="29"/>
      <c r="F731" s="122"/>
      <c r="G731" s="302"/>
      <c r="H731" s="119"/>
      <c r="I731" s="121"/>
      <c r="J731" s="141"/>
    </row>
    <row r="732" spans="1:10" s="118" customFormat="1" ht="15">
      <c r="A732" s="186"/>
      <c r="B732" s="29"/>
      <c r="C732" s="29"/>
      <c r="D732" s="29" t="s">
        <v>200</v>
      </c>
      <c r="E732" s="29"/>
      <c r="F732" s="122">
        <v>38.9</v>
      </c>
      <c r="G732" s="302"/>
      <c r="H732" s="119"/>
      <c r="I732" s="121"/>
      <c r="J732" s="141"/>
    </row>
    <row r="733" spans="1:10" s="118" customFormat="1" ht="13.8">
      <c r="A733" s="146" t="s">
        <v>1705</v>
      </c>
      <c r="B733" s="31" t="s">
        <v>77</v>
      </c>
      <c r="C733" s="26" t="s">
        <v>203</v>
      </c>
      <c r="D733" s="26" t="s">
        <v>484</v>
      </c>
      <c r="E733" s="26" t="s">
        <v>74</v>
      </c>
      <c r="F733" s="27">
        <f>F735</f>
        <v>17.2</v>
      </c>
      <c r="G733" s="298"/>
      <c r="H733" s="28">
        <f>F733*G733</f>
        <v>0</v>
      </c>
      <c r="J733" s="120"/>
    </row>
    <row r="734" spans="1:10" s="118" customFormat="1" ht="15">
      <c r="A734" s="186"/>
      <c r="B734" s="29"/>
      <c r="C734" s="29"/>
      <c r="D734" s="29" t="s">
        <v>210</v>
      </c>
      <c r="E734" s="29"/>
      <c r="F734" s="122"/>
      <c r="G734" s="302"/>
      <c r="H734" s="119"/>
      <c r="I734" s="121"/>
      <c r="J734" s="141"/>
    </row>
    <row r="735" spans="1:10" s="118" customFormat="1" ht="15">
      <c r="A735" s="186"/>
      <c r="B735" s="29"/>
      <c r="C735" s="29"/>
      <c r="D735" s="29" t="s">
        <v>200</v>
      </c>
      <c r="E735" s="29"/>
      <c r="F735" s="122">
        <v>17.2</v>
      </c>
      <c r="G735" s="302"/>
      <c r="H735" s="119"/>
      <c r="I735" s="121"/>
      <c r="J735" s="141"/>
    </row>
    <row r="736" spans="1:10" s="118" customFormat="1" ht="13.8">
      <c r="A736" s="146" t="s">
        <v>1706</v>
      </c>
      <c r="B736" s="31" t="s">
        <v>77</v>
      </c>
      <c r="C736" s="26" t="s">
        <v>204</v>
      </c>
      <c r="D736" s="26" t="s">
        <v>485</v>
      </c>
      <c r="E736" s="26" t="s">
        <v>26</v>
      </c>
      <c r="F736" s="27">
        <f>F737</f>
        <v>24</v>
      </c>
      <c r="G736" s="298"/>
      <c r="H736" s="28">
        <f>F736*G736</f>
        <v>0</v>
      </c>
      <c r="J736" s="120"/>
    </row>
    <row r="737" spans="1:10" s="118" customFormat="1" ht="15">
      <c r="A737" s="186"/>
      <c r="B737" s="29"/>
      <c r="C737" s="29"/>
      <c r="D737" s="29" t="s">
        <v>200</v>
      </c>
      <c r="E737" s="29"/>
      <c r="F737" s="122">
        <v>24</v>
      </c>
      <c r="G737" s="302"/>
      <c r="H737" s="119"/>
      <c r="I737" s="121"/>
      <c r="J737" s="141"/>
    </row>
    <row r="738" spans="1:10" s="118" customFormat="1" ht="13.8">
      <c r="A738" s="146" t="s">
        <v>437</v>
      </c>
      <c r="B738" s="31" t="s">
        <v>77</v>
      </c>
      <c r="C738" s="26" t="s">
        <v>205</v>
      </c>
      <c r="D738" s="26" t="s">
        <v>489</v>
      </c>
      <c r="E738" s="26" t="s">
        <v>26</v>
      </c>
      <c r="F738" s="27">
        <f>F739</f>
        <v>6</v>
      </c>
      <c r="G738" s="298"/>
      <c r="H738" s="28">
        <f>F738*G738</f>
        <v>0</v>
      </c>
      <c r="J738" s="120"/>
    </row>
    <row r="739" spans="1:10" s="118" customFormat="1" ht="15">
      <c r="A739" s="186"/>
      <c r="B739" s="29"/>
      <c r="C739" s="29"/>
      <c r="D739" s="29" t="s">
        <v>200</v>
      </c>
      <c r="E739" s="29"/>
      <c r="F739" s="122">
        <v>6</v>
      </c>
      <c r="G739" s="302"/>
      <c r="H739" s="119"/>
      <c r="I739" s="121"/>
      <c r="J739" s="141"/>
    </row>
    <row r="740" spans="1:10" s="118" customFormat="1" ht="13.8">
      <c r="A740" s="146" t="s">
        <v>1707</v>
      </c>
      <c r="B740" s="31" t="s">
        <v>77</v>
      </c>
      <c r="C740" s="26" t="s">
        <v>206</v>
      </c>
      <c r="D740" s="26" t="s">
        <v>486</v>
      </c>
      <c r="E740" s="26" t="s">
        <v>26</v>
      </c>
      <c r="F740" s="27">
        <f>F742</f>
        <v>1</v>
      </c>
      <c r="G740" s="298"/>
      <c r="H740" s="28">
        <f>F740*G740</f>
        <v>0</v>
      </c>
      <c r="J740" s="120"/>
    </row>
    <row r="741" spans="1:10" s="118" customFormat="1" ht="21.6">
      <c r="A741" s="186"/>
      <c r="B741" s="29"/>
      <c r="C741" s="29"/>
      <c r="D741" s="29" t="s">
        <v>487</v>
      </c>
      <c r="E741" s="29"/>
      <c r="F741" s="122"/>
      <c r="G741" s="302"/>
      <c r="H741" s="119"/>
      <c r="I741" s="121"/>
      <c r="J741" s="141"/>
    </row>
    <row r="742" spans="1:10" s="118" customFormat="1" ht="15">
      <c r="A742" s="186"/>
      <c r="B742" s="29"/>
      <c r="C742" s="29"/>
      <c r="D742" s="29" t="s">
        <v>200</v>
      </c>
      <c r="E742" s="29"/>
      <c r="F742" s="122">
        <v>1</v>
      </c>
      <c r="G742" s="302"/>
      <c r="H742" s="119"/>
      <c r="I742" s="121"/>
      <c r="J742" s="141"/>
    </row>
    <row r="743" spans="1:10" s="118" customFormat="1" ht="13.8">
      <c r="A743" s="146" t="s">
        <v>1708</v>
      </c>
      <c r="B743" s="31" t="s">
        <v>77</v>
      </c>
      <c r="C743" s="26" t="s">
        <v>209</v>
      </c>
      <c r="D743" s="26" t="s">
        <v>488</v>
      </c>
      <c r="E743" s="26" t="s">
        <v>26</v>
      </c>
      <c r="F743" s="27">
        <f>F745</f>
        <v>1</v>
      </c>
      <c r="G743" s="298"/>
      <c r="H743" s="28">
        <f>F743*G743</f>
        <v>0</v>
      </c>
      <c r="J743" s="120"/>
    </row>
    <row r="744" spans="1:10" s="118" customFormat="1" ht="31.8">
      <c r="A744" s="186"/>
      <c r="B744" s="29"/>
      <c r="C744" s="29"/>
      <c r="D744" s="29" t="s">
        <v>212</v>
      </c>
      <c r="E744" s="29"/>
      <c r="F744" s="122"/>
      <c r="G744" s="302"/>
      <c r="H744" s="119"/>
      <c r="I744" s="121"/>
      <c r="J744" s="141"/>
    </row>
    <row r="745" spans="1:10" s="118" customFormat="1" ht="15">
      <c r="A745" s="186"/>
      <c r="B745" s="29"/>
      <c r="C745" s="29"/>
      <c r="D745" s="29" t="s">
        <v>200</v>
      </c>
      <c r="E745" s="29"/>
      <c r="F745" s="122">
        <v>1</v>
      </c>
      <c r="G745" s="302"/>
      <c r="H745" s="119"/>
      <c r="I745" s="121"/>
      <c r="J745" s="141"/>
    </row>
    <row r="746" spans="1:10" s="118" customFormat="1" ht="28.05" customHeight="1">
      <c r="A746" s="146" t="s">
        <v>1709</v>
      </c>
      <c r="B746" s="31" t="s">
        <v>77</v>
      </c>
      <c r="C746" s="26" t="s">
        <v>211</v>
      </c>
      <c r="D746" s="26" t="s">
        <v>490</v>
      </c>
      <c r="E746" s="26" t="s">
        <v>26</v>
      </c>
      <c r="F746" s="27">
        <f>F747</f>
        <v>1</v>
      </c>
      <c r="G746" s="298"/>
      <c r="H746" s="28">
        <f>F746*G746</f>
        <v>0</v>
      </c>
      <c r="J746" s="120"/>
    </row>
    <row r="747" spans="1:10" s="118" customFormat="1" ht="15">
      <c r="A747" s="186"/>
      <c r="B747" s="29"/>
      <c r="C747" s="29"/>
      <c r="D747" s="29" t="s">
        <v>200</v>
      </c>
      <c r="E747" s="29"/>
      <c r="F747" s="122">
        <v>1</v>
      </c>
      <c r="G747" s="302"/>
      <c r="H747" s="119"/>
      <c r="I747" s="121"/>
      <c r="J747" s="141"/>
    </row>
    <row r="748" spans="1:10" s="118" customFormat="1" ht="13.8">
      <c r="A748" s="146" t="s">
        <v>1710</v>
      </c>
      <c r="B748" s="31" t="s">
        <v>77</v>
      </c>
      <c r="C748" s="26" t="s">
        <v>213</v>
      </c>
      <c r="D748" s="26" t="s">
        <v>493</v>
      </c>
      <c r="E748" s="26" t="s">
        <v>26</v>
      </c>
      <c r="F748" s="27">
        <f>F749</f>
        <v>1</v>
      </c>
      <c r="G748" s="298"/>
      <c r="H748" s="28">
        <f>F748*G748</f>
        <v>0</v>
      </c>
      <c r="J748" s="120"/>
    </row>
    <row r="749" spans="1:10" s="118" customFormat="1" ht="15">
      <c r="A749" s="186"/>
      <c r="B749" s="29"/>
      <c r="C749" s="29"/>
      <c r="D749" s="29" t="s">
        <v>491</v>
      </c>
      <c r="E749" s="29"/>
      <c r="F749" s="122">
        <v>1</v>
      </c>
      <c r="G749" s="302"/>
      <c r="H749" s="119"/>
      <c r="I749" s="121"/>
      <c r="J749" s="141"/>
    </row>
    <row r="750" spans="1:10" s="118" customFormat="1" ht="31.8">
      <c r="A750" s="186"/>
      <c r="B750" s="29"/>
      <c r="C750" s="29"/>
      <c r="D750" s="29" t="s">
        <v>492</v>
      </c>
      <c r="E750" s="29"/>
      <c r="F750" s="122"/>
      <c r="G750" s="302"/>
      <c r="H750" s="119"/>
      <c r="I750" s="121"/>
      <c r="J750" s="141"/>
    </row>
    <row r="751" spans="1:10" s="118" customFormat="1" ht="15">
      <c r="A751" s="186"/>
      <c r="B751" s="29"/>
      <c r="C751" s="29"/>
      <c r="D751" s="29" t="s">
        <v>200</v>
      </c>
      <c r="E751" s="29"/>
      <c r="F751" s="122"/>
      <c r="G751" s="302"/>
      <c r="H751" s="119"/>
      <c r="I751" s="121"/>
      <c r="J751" s="141"/>
    </row>
    <row r="752" spans="1:10" s="118" customFormat="1" ht="13.8">
      <c r="A752" s="146" t="s">
        <v>1797</v>
      </c>
      <c r="B752" s="31" t="s">
        <v>77</v>
      </c>
      <c r="C752" s="26" t="s">
        <v>214</v>
      </c>
      <c r="D752" s="26" t="s">
        <v>494</v>
      </c>
      <c r="E752" s="26" t="s">
        <v>26</v>
      </c>
      <c r="F752" s="27">
        <f>F754</f>
        <v>1</v>
      </c>
      <c r="G752" s="298"/>
      <c r="H752" s="28">
        <f>F752*G752</f>
        <v>0</v>
      </c>
      <c r="J752" s="120"/>
    </row>
    <row r="753" spans="1:10" s="118" customFormat="1" ht="21.6">
      <c r="A753" s="186"/>
      <c r="B753" s="29"/>
      <c r="C753" s="29"/>
      <c r="D753" s="29" t="s">
        <v>495</v>
      </c>
      <c r="E753" s="29"/>
      <c r="F753" s="122"/>
      <c r="G753" s="302"/>
      <c r="H753" s="119"/>
      <c r="I753" s="121"/>
      <c r="J753" s="141"/>
    </row>
    <row r="754" spans="1:10" s="118" customFormat="1" ht="15">
      <c r="A754" s="186"/>
      <c r="B754" s="29"/>
      <c r="C754" s="29"/>
      <c r="D754" s="29" t="s">
        <v>496</v>
      </c>
      <c r="E754" s="29"/>
      <c r="F754" s="122">
        <v>1</v>
      </c>
      <c r="G754" s="302"/>
      <c r="H754" s="119"/>
      <c r="I754" s="121"/>
      <c r="J754" s="141"/>
    </row>
    <row r="755" spans="1:10" s="118" customFormat="1" ht="13.8">
      <c r="A755" s="146" t="s">
        <v>1798</v>
      </c>
      <c r="B755" s="31" t="s">
        <v>77</v>
      </c>
      <c r="C755" s="26" t="s">
        <v>215</v>
      </c>
      <c r="D755" s="26" t="s">
        <v>497</v>
      </c>
      <c r="E755" s="26" t="s">
        <v>26</v>
      </c>
      <c r="F755" s="27">
        <f>F757</f>
        <v>1</v>
      </c>
      <c r="G755" s="298"/>
      <c r="H755" s="28">
        <f>F755*G755</f>
        <v>0</v>
      </c>
      <c r="J755" s="120"/>
    </row>
    <row r="756" spans="1:10" s="118" customFormat="1" ht="15">
      <c r="A756" s="186"/>
      <c r="B756" s="29"/>
      <c r="C756" s="29"/>
      <c r="D756" s="29" t="s">
        <v>498</v>
      </c>
      <c r="E756" s="29"/>
      <c r="F756" s="122"/>
      <c r="G756" s="302"/>
      <c r="H756" s="119"/>
      <c r="I756" s="121"/>
      <c r="J756" s="141"/>
    </row>
    <row r="757" spans="1:10" s="118" customFormat="1" ht="15">
      <c r="A757" s="186"/>
      <c r="B757" s="29"/>
      <c r="C757" s="29"/>
      <c r="D757" s="29" t="s">
        <v>200</v>
      </c>
      <c r="E757" s="29"/>
      <c r="F757" s="122">
        <v>1</v>
      </c>
      <c r="G757" s="302"/>
      <c r="H757" s="119"/>
      <c r="I757" s="121"/>
      <c r="J757" s="141"/>
    </row>
    <row r="758" spans="1:10" s="118" customFormat="1" ht="13.8">
      <c r="A758" s="146" t="s">
        <v>1799</v>
      </c>
      <c r="B758" s="31" t="s">
        <v>77</v>
      </c>
      <c r="C758" s="26" t="s">
        <v>216</v>
      </c>
      <c r="D758" s="26" t="s">
        <v>503</v>
      </c>
      <c r="E758" s="26" t="s">
        <v>26</v>
      </c>
      <c r="F758" s="27">
        <f>F760</f>
        <v>1</v>
      </c>
      <c r="G758" s="298"/>
      <c r="H758" s="28">
        <f>F758*G758</f>
        <v>0</v>
      </c>
      <c r="J758" s="120"/>
    </row>
    <row r="759" spans="1:10" s="118" customFormat="1" ht="21.6">
      <c r="A759" s="186"/>
      <c r="B759" s="29"/>
      <c r="C759" s="29"/>
      <c r="D759" s="29" t="s">
        <v>504</v>
      </c>
      <c r="E759" s="29"/>
      <c r="F759" s="122"/>
      <c r="G759" s="302"/>
      <c r="H759" s="119"/>
      <c r="I759" s="121"/>
      <c r="J759" s="141"/>
    </row>
    <row r="760" spans="1:10" s="118" customFormat="1" ht="15">
      <c r="A760" s="186"/>
      <c r="B760" s="29"/>
      <c r="C760" s="29"/>
      <c r="D760" s="29" t="s">
        <v>200</v>
      </c>
      <c r="E760" s="29"/>
      <c r="F760" s="122">
        <v>1</v>
      </c>
      <c r="G760" s="302"/>
      <c r="H760" s="119"/>
      <c r="I760" s="121"/>
      <c r="J760" s="141"/>
    </row>
    <row r="761" spans="1:10" s="118" customFormat="1" ht="28.05" customHeight="1">
      <c r="A761" s="146" t="s">
        <v>1800</v>
      </c>
      <c r="B761" s="31" t="s">
        <v>77</v>
      </c>
      <c r="C761" s="26" t="s">
        <v>217</v>
      </c>
      <c r="D761" s="26" t="s">
        <v>505</v>
      </c>
      <c r="E761" s="26" t="s">
        <v>26</v>
      </c>
      <c r="F761" s="27">
        <f>F762</f>
        <v>2</v>
      </c>
      <c r="G761" s="298"/>
      <c r="H761" s="28">
        <f>F761*G761</f>
        <v>0</v>
      </c>
      <c r="J761" s="120"/>
    </row>
    <row r="762" spans="1:10" s="118" customFormat="1" ht="15">
      <c r="A762" s="186"/>
      <c r="B762" s="29"/>
      <c r="C762" s="29"/>
      <c r="D762" s="29" t="s">
        <v>200</v>
      </c>
      <c r="E762" s="29"/>
      <c r="F762" s="122">
        <v>2</v>
      </c>
      <c r="G762" s="302"/>
      <c r="H762" s="119"/>
      <c r="I762" s="121"/>
      <c r="J762" s="141"/>
    </row>
    <row r="763" spans="1:10" s="199" customFormat="1" ht="15">
      <c r="A763" s="285"/>
      <c r="B763" s="169"/>
      <c r="C763" s="196" t="s">
        <v>847</v>
      </c>
      <c r="D763" s="197" t="s">
        <v>848</v>
      </c>
      <c r="E763" s="197"/>
      <c r="F763" s="198"/>
      <c r="G763" s="305"/>
      <c r="H763" s="13">
        <f>H764</f>
        <v>0</v>
      </c>
      <c r="J763" s="172"/>
    </row>
    <row r="764" spans="1:11" s="173" customFormat="1" ht="15">
      <c r="A764" s="283"/>
      <c r="B764" s="200"/>
      <c r="C764" s="201" t="s">
        <v>849</v>
      </c>
      <c r="D764" s="200" t="s">
        <v>850</v>
      </c>
      <c r="E764" s="200"/>
      <c r="F764" s="202"/>
      <c r="G764" s="306"/>
      <c r="H764" s="206">
        <f>SUM(H765:H769)</f>
        <v>0</v>
      </c>
      <c r="I764" s="172"/>
      <c r="K764" s="174"/>
    </row>
    <row r="765" spans="1:11" s="173" customFormat="1" ht="24" customHeight="1">
      <c r="A765" s="282">
        <v>303</v>
      </c>
      <c r="B765" s="169" t="s">
        <v>851</v>
      </c>
      <c r="C765" s="203" t="s">
        <v>852</v>
      </c>
      <c r="D765" s="170" t="s">
        <v>855</v>
      </c>
      <c r="E765" s="170" t="s">
        <v>46</v>
      </c>
      <c r="F765" s="171">
        <v>1</v>
      </c>
      <c r="G765" s="298"/>
      <c r="H765" s="28">
        <f>F765*G765</f>
        <v>0</v>
      </c>
      <c r="I765" s="172"/>
      <c r="K765" s="174"/>
    </row>
    <row r="766" spans="1:11" s="172" customFormat="1" ht="31.8">
      <c r="A766" s="282"/>
      <c r="B766" s="169"/>
      <c r="C766" s="204"/>
      <c r="D766" s="176" t="s">
        <v>853</v>
      </c>
      <c r="E766" s="205"/>
      <c r="F766" s="177"/>
      <c r="G766" s="298"/>
      <c r="H766" s="28"/>
      <c r="K766" s="141"/>
    </row>
    <row r="767" spans="1:11" s="172" customFormat="1" ht="42">
      <c r="A767" s="282"/>
      <c r="B767" s="169"/>
      <c r="C767" s="204"/>
      <c r="D767" s="176" t="s">
        <v>1817</v>
      </c>
      <c r="E767" s="205"/>
      <c r="F767" s="177"/>
      <c r="G767" s="298"/>
      <c r="H767" s="28"/>
      <c r="K767" s="141"/>
    </row>
    <row r="768" spans="1:11" s="173" customFormat="1" ht="15">
      <c r="A768" s="282"/>
      <c r="B768" s="169"/>
      <c r="C768" s="203"/>
      <c r="D768" s="176" t="s">
        <v>854</v>
      </c>
      <c r="E768" s="170"/>
      <c r="F768" s="177"/>
      <c r="G768" s="298"/>
      <c r="H768" s="28"/>
      <c r="I768" s="172"/>
      <c r="K768" s="174"/>
    </row>
    <row r="769" spans="1:11" s="173" customFormat="1" ht="15">
      <c r="A769" s="282"/>
      <c r="B769" s="169"/>
      <c r="C769" s="203"/>
      <c r="D769" s="176" t="s">
        <v>856</v>
      </c>
      <c r="E769" s="170"/>
      <c r="F769" s="177"/>
      <c r="G769" s="298"/>
      <c r="H769" s="28"/>
      <c r="I769" s="172"/>
      <c r="K769" s="174"/>
    </row>
    <row r="770" spans="1:8" ht="15">
      <c r="A770" s="284"/>
      <c r="B770" s="20"/>
      <c r="C770" s="20"/>
      <c r="D770" s="20"/>
      <c r="E770" s="20"/>
      <c r="F770" s="33"/>
      <c r="G770" s="24"/>
      <c r="H770" s="24"/>
    </row>
    <row r="771" spans="1:8" ht="15">
      <c r="A771" s="439" t="s">
        <v>23</v>
      </c>
      <c r="B771" s="440"/>
      <c r="C771" s="441"/>
      <c r="D771" s="159"/>
      <c r="E771" s="160"/>
      <c r="F771" s="161"/>
      <c r="G771" s="162"/>
      <c r="H771" s="163">
        <f>H206+H8+H763</f>
        <v>0</v>
      </c>
    </row>
    <row r="772" spans="1:8" ht="15">
      <c r="A772" s="18"/>
      <c r="B772" s="19"/>
      <c r="C772" s="19"/>
      <c r="D772" s="20"/>
      <c r="E772" s="21"/>
      <c r="F772" s="22"/>
      <c r="G772" s="23"/>
      <c r="H772" s="24"/>
    </row>
    <row r="773" spans="1:8" ht="15">
      <c r="A773" s="25" t="s">
        <v>24</v>
      </c>
      <c r="B773" s="25"/>
      <c r="C773" s="25"/>
      <c r="D773" s="25"/>
      <c r="E773" s="25"/>
      <c r="F773" s="25"/>
      <c r="G773" s="144"/>
      <c r="H773" s="25"/>
    </row>
    <row r="774" spans="1:8" ht="27" customHeight="1">
      <c r="A774" s="438" t="s">
        <v>25</v>
      </c>
      <c r="B774" s="438"/>
      <c r="C774" s="438"/>
      <c r="D774" s="438"/>
      <c r="E774" s="438"/>
      <c r="F774" s="438"/>
      <c r="G774" s="438"/>
      <c r="H774" s="25"/>
    </row>
    <row r="775" spans="1:8" ht="15">
      <c r="A775" s="9"/>
      <c r="B775" s="9"/>
      <c r="C775" s="9"/>
      <c r="D775" s="9"/>
      <c r="E775" s="9"/>
      <c r="F775" s="9"/>
      <c r="G775" s="142"/>
      <c r="H775" s="9"/>
    </row>
    <row r="776" spans="1:8" ht="15">
      <c r="A776" s="9"/>
      <c r="B776" s="9"/>
      <c r="C776" s="9"/>
      <c r="D776" s="9"/>
      <c r="E776" s="9"/>
      <c r="F776" s="9"/>
      <c r="G776" s="142"/>
      <c r="H776" s="9"/>
    </row>
  </sheetData>
  <sheetProtection algorithmName="SHA-512" hashValue="ewiL0ZNiqmr9VFlz1F+Cq38g/SVcC0sPZnDtqJPkPZT3qPcnBaOnIVXCQFDrcTzcmULIsyHat7KgHnmja/3imA==" saltValue="eU6h1g2z3cvY3oEfl8BW9w==" spinCount="100000" sheet="1" objects="1" scenarios="1"/>
  <mergeCells count="2">
    <mergeCell ref="A771:C771"/>
    <mergeCell ref="A774:G774"/>
  </mergeCells>
  <printOptions/>
  <pageMargins left="0.7086614173228347" right="0.7086614173228347" top="0.7874015748031497" bottom="0.7874015748031497" header="0.31496062992125984" footer="0.31496062992125984"/>
  <pageSetup fitToHeight="99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zoomScale="150" zoomScaleNormal="150" workbookViewId="0" topLeftCell="A88">
      <selection activeCell="G98" sqref="G98"/>
    </sheetView>
  </sheetViews>
  <sheetFormatPr defaultColWidth="8.7109375" defaultRowHeight="15"/>
  <cols>
    <col min="1" max="1" width="6.7109375" style="7" customWidth="1"/>
    <col min="2" max="2" width="4.7109375" style="7" customWidth="1"/>
    <col min="3" max="3" width="13.7109375" style="7" customWidth="1"/>
    <col min="4" max="4" width="64.7109375" style="7" customWidth="1"/>
    <col min="5" max="5" width="6.7109375" style="7" customWidth="1"/>
    <col min="6" max="6" width="8.7109375" style="7" customWidth="1"/>
    <col min="7" max="7" width="10.7109375" style="145" customWidth="1"/>
    <col min="8" max="8" width="13.7109375" style="7" customWidth="1"/>
  </cols>
  <sheetData>
    <row r="1" spans="1:8" ht="21">
      <c r="A1" s="4" t="s">
        <v>1560</v>
      </c>
      <c r="B1" s="5"/>
      <c r="C1" s="5"/>
      <c r="D1" s="5"/>
      <c r="E1" s="5"/>
      <c r="F1" s="5"/>
      <c r="G1" s="5"/>
      <c r="H1" s="5"/>
    </row>
    <row r="2" spans="1:8" ht="15">
      <c r="A2" s="2" t="s">
        <v>1805</v>
      </c>
      <c r="B2" s="2"/>
      <c r="C2" s="6"/>
      <c r="D2" s="6"/>
      <c r="E2" s="6"/>
      <c r="F2" s="6"/>
      <c r="G2" s="5"/>
      <c r="H2" s="5"/>
    </row>
    <row r="3" spans="1:8" ht="15">
      <c r="A3" s="2" t="s">
        <v>188</v>
      </c>
      <c r="B3" s="1"/>
      <c r="C3" s="3"/>
      <c r="D3" s="9"/>
      <c r="E3" s="9"/>
      <c r="F3" s="9"/>
      <c r="G3" s="9"/>
      <c r="H3" s="9"/>
    </row>
    <row r="4" spans="1:8" ht="15">
      <c r="A4" s="2" t="s">
        <v>415</v>
      </c>
      <c r="B4" s="1"/>
      <c r="C4" s="3"/>
      <c r="D4" s="9"/>
      <c r="E4" s="9"/>
      <c r="F4" s="9"/>
      <c r="G4" s="9"/>
      <c r="H4" s="9"/>
    </row>
    <row r="5" spans="1:8" ht="15">
      <c r="A5" s="2"/>
      <c r="B5" s="1"/>
      <c r="C5" s="3"/>
      <c r="D5" s="9"/>
      <c r="E5" s="9"/>
      <c r="F5" s="9"/>
      <c r="G5" s="142"/>
      <c r="H5" s="9"/>
    </row>
    <row r="6" spans="1:8" ht="21.6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143" t="s">
        <v>6</v>
      </c>
      <c r="H6" s="8" t="s">
        <v>7</v>
      </c>
    </row>
    <row r="7" spans="1:8" ht="15">
      <c r="A7" s="8" t="s">
        <v>8</v>
      </c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143" t="s">
        <v>14</v>
      </c>
      <c r="H7" s="8">
        <v>8</v>
      </c>
    </row>
    <row r="8" spans="1:8" ht="15">
      <c r="A8" s="10"/>
      <c r="B8" s="11"/>
      <c r="C8" s="11" t="s">
        <v>15</v>
      </c>
      <c r="D8" s="11" t="s">
        <v>16</v>
      </c>
      <c r="E8" s="11"/>
      <c r="F8" s="12"/>
      <c r="G8" s="13"/>
      <c r="H8" s="13">
        <f>H9+H55+H74+H85+H90+H106</f>
        <v>0</v>
      </c>
    </row>
    <row r="9" spans="1:8" ht="15">
      <c r="A9" s="14"/>
      <c r="B9" s="15"/>
      <c r="C9" s="15">
        <v>1</v>
      </c>
      <c r="D9" s="15" t="s">
        <v>111</v>
      </c>
      <c r="E9" s="15"/>
      <c r="F9" s="16"/>
      <c r="G9" s="17"/>
      <c r="H9" s="17">
        <f>SUM(H10:H54)</f>
        <v>0</v>
      </c>
    </row>
    <row r="10" spans="1:10" s="118" customFormat="1" ht="21">
      <c r="A10" s="146" t="s">
        <v>8</v>
      </c>
      <c r="B10" s="31">
        <v>113</v>
      </c>
      <c r="C10" s="26">
        <v>113106121</v>
      </c>
      <c r="D10" s="26" t="s">
        <v>1717</v>
      </c>
      <c r="E10" s="26" t="s">
        <v>18</v>
      </c>
      <c r="F10" s="27">
        <f>SUM(F11:F12)</f>
        <v>79.39999999999999</v>
      </c>
      <c r="G10" s="298"/>
      <c r="H10" s="28">
        <f>F10*G10</f>
        <v>0</v>
      </c>
      <c r="J10" s="120"/>
    </row>
    <row r="11" spans="1:10" s="121" customFormat="1" ht="13.8">
      <c r="A11" s="182"/>
      <c r="B11" s="26"/>
      <c r="C11" s="26"/>
      <c r="D11" s="29" t="s">
        <v>1715</v>
      </c>
      <c r="E11" s="26"/>
      <c r="F11" s="30">
        <f>0.5*(20.5+13.3+5.4+14)</f>
        <v>26.599999999999998</v>
      </c>
      <c r="G11" s="298"/>
      <c r="H11" s="28"/>
      <c r="J11" s="120"/>
    </row>
    <row r="12" spans="1:10" s="121" customFormat="1" ht="13.8">
      <c r="A12" s="182"/>
      <c r="B12" s="26"/>
      <c r="C12" s="26"/>
      <c r="D12" s="29" t="s">
        <v>1716</v>
      </c>
      <c r="E12" s="26"/>
      <c r="F12" s="30">
        <v>52.8</v>
      </c>
      <c r="G12" s="298"/>
      <c r="H12" s="28"/>
      <c r="J12" s="120"/>
    </row>
    <row r="13" spans="1:10" s="118" customFormat="1" ht="13.8">
      <c r="A13" s="146" t="s">
        <v>9</v>
      </c>
      <c r="B13" s="31">
        <v>113</v>
      </c>
      <c r="C13" s="26">
        <v>113154123</v>
      </c>
      <c r="D13" s="26" t="s">
        <v>261</v>
      </c>
      <c r="E13" s="26" t="s">
        <v>18</v>
      </c>
      <c r="F13" s="27">
        <f>F14</f>
        <v>95.28</v>
      </c>
      <c r="G13" s="298"/>
      <c r="H13" s="28">
        <f>F13*G13</f>
        <v>0</v>
      </c>
      <c r="J13" s="120"/>
    </row>
    <row r="14" spans="1:10" s="121" customFormat="1" ht="13.8">
      <c r="A14" s="182"/>
      <c r="B14" s="26"/>
      <c r="C14" s="26"/>
      <c r="D14" s="29" t="s">
        <v>1712</v>
      </c>
      <c r="E14" s="26"/>
      <c r="F14" s="30">
        <f>2.4*21.3+1.6*14.3+1.6*13.3</f>
        <v>95.28</v>
      </c>
      <c r="G14" s="298"/>
      <c r="H14" s="28"/>
      <c r="J14" s="120"/>
    </row>
    <row r="15" spans="1:10" s="118" customFormat="1" ht="13.8">
      <c r="A15" s="146" t="s">
        <v>10</v>
      </c>
      <c r="B15" s="31">
        <v>113</v>
      </c>
      <c r="C15" s="26">
        <v>113201111</v>
      </c>
      <c r="D15" s="26" t="s">
        <v>416</v>
      </c>
      <c r="E15" s="26" t="s">
        <v>74</v>
      </c>
      <c r="F15" s="27">
        <f>F16</f>
        <v>100.80000000000001</v>
      </c>
      <c r="G15" s="298"/>
      <c r="H15" s="28">
        <f>F15*G15</f>
        <v>0</v>
      </c>
      <c r="J15" s="120"/>
    </row>
    <row r="16" spans="1:10" s="121" customFormat="1" ht="13.8">
      <c r="A16" s="182"/>
      <c r="B16" s="26"/>
      <c r="C16" s="26"/>
      <c r="D16" s="29" t="s">
        <v>1713</v>
      </c>
      <c r="E16" s="26"/>
      <c r="F16" s="30">
        <f>2*(14.8+14.3+21.3)</f>
        <v>100.80000000000001</v>
      </c>
      <c r="G16" s="298"/>
      <c r="H16" s="28"/>
      <c r="J16" s="120"/>
    </row>
    <row r="17" spans="1:10" s="118" customFormat="1" ht="13.8">
      <c r="A17" s="146" t="s">
        <v>11</v>
      </c>
      <c r="B17" s="31">
        <v>121</v>
      </c>
      <c r="C17" s="26">
        <v>121151113</v>
      </c>
      <c r="D17" s="26" t="s">
        <v>417</v>
      </c>
      <c r="E17" s="26" t="s">
        <v>18</v>
      </c>
      <c r="F17" s="27">
        <f>F18</f>
        <v>470</v>
      </c>
      <c r="G17" s="298"/>
      <c r="H17" s="28">
        <f>F17*G17</f>
        <v>0</v>
      </c>
      <c r="J17" s="120"/>
    </row>
    <row r="18" spans="1:10" s="121" customFormat="1" ht="13.8">
      <c r="A18" s="182"/>
      <c r="B18" s="26"/>
      <c r="C18" s="26"/>
      <c r="D18" s="29" t="s">
        <v>1724</v>
      </c>
      <c r="E18" s="26"/>
      <c r="F18" s="30">
        <v>470</v>
      </c>
      <c r="G18" s="298"/>
      <c r="H18" s="28"/>
      <c r="J18" s="120"/>
    </row>
    <row r="19" spans="1:10" s="118" customFormat="1" ht="13.8">
      <c r="A19" s="146" t="s">
        <v>12</v>
      </c>
      <c r="B19" s="31">
        <v>131</v>
      </c>
      <c r="C19" s="26">
        <v>131251204</v>
      </c>
      <c r="D19" s="26" t="s">
        <v>265</v>
      </c>
      <c r="E19" s="26" t="s">
        <v>17</v>
      </c>
      <c r="F19" s="27">
        <f>SUM(F20:F23)</f>
        <v>99.446</v>
      </c>
      <c r="G19" s="298"/>
      <c r="H19" s="28">
        <f>F19*G19</f>
        <v>0</v>
      </c>
      <c r="J19" s="120"/>
    </row>
    <row r="20" spans="1:10" s="121" customFormat="1" ht="24" customHeight="1">
      <c r="A20" s="182"/>
      <c r="B20" s="26"/>
      <c r="C20" s="26"/>
      <c r="D20" s="29" t="s">
        <v>1725</v>
      </c>
      <c r="E20" s="26"/>
      <c r="F20" s="30">
        <f>28*(0.9*0.3*0.3)+100.8*(0.3*0.5)+(4.5+11.2+5.5+2.4)*0.5*0.3</f>
        <v>20.927999999999997</v>
      </c>
      <c r="G20" s="298"/>
      <c r="H20" s="28"/>
      <c r="J20" s="120"/>
    </row>
    <row r="21" spans="1:10" s="121" customFormat="1" ht="13.8">
      <c r="A21" s="182"/>
      <c r="B21" s="26"/>
      <c r="C21" s="26"/>
      <c r="D21" s="29" t="s">
        <v>1729</v>
      </c>
      <c r="E21" s="26"/>
      <c r="F21" s="30">
        <f>180*0.37</f>
        <v>66.6</v>
      </c>
      <c r="G21" s="298"/>
      <c r="H21" s="28"/>
      <c r="J21" s="120"/>
    </row>
    <row r="22" spans="1:10" s="121" customFormat="1" ht="13.8">
      <c r="A22" s="182"/>
      <c r="B22" s="26"/>
      <c r="C22" s="26"/>
      <c r="D22" s="29" t="s">
        <v>1730</v>
      </c>
      <c r="E22" s="26"/>
      <c r="F22" s="30">
        <f>19.3*0.5</f>
        <v>9.65</v>
      </c>
      <c r="G22" s="298"/>
      <c r="H22" s="28"/>
      <c r="J22" s="120"/>
    </row>
    <row r="23" spans="1:10" s="121" customFormat="1" ht="13.8">
      <c r="A23" s="182"/>
      <c r="B23" s="26"/>
      <c r="C23" s="26"/>
      <c r="D23" s="29" t="s">
        <v>1778</v>
      </c>
      <c r="E23" s="26"/>
      <c r="F23" s="30">
        <f>28*(0.3*0.3*0.9)</f>
        <v>2.2680000000000002</v>
      </c>
      <c r="G23" s="298"/>
      <c r="H23" s="28"/>
      <c r="J23" s="120"/>
    </row>
    <row r="24" spans="1:10" s="118" customFormat="1" ht="13.8">
      <c r="A24" s="146" t="s">
        <v>13</v>
      </c>
      <c r="B24" s="31">
        <v>161</v>
      </c>
      <c r="C24" s="26">
        <v>161151103</v>
      </c>
      <c r="D24" s="26" t="s">
        <v>112</v>
      </c>
      <c r="E24" s="26" t="s">
        <v>17</v>
      </c>
      <c r="F24" s="27">
        <f>F25</f>
        <v>99.446</v>
      </c>
      <c r="G24" s="298"/>
      <c r="H24" s="28">
        <f>F24*G24</f>
        <v>0</v>
      </c>
      <c r="J24" s="120"/>
    </row>
    <row r="25" spans="1:10" s="121" customFormat="1" ht="13.8">
      <c r="A25" s="182"/>
      <c r="B25" s="26"/>
      <c r="C25" s="26"/>
      <c r="D25" s="29" t="s">
        <v>113</v>
      </c>
      <c r="E25" s="26"/>
      <c r="F25" s="30">
        <f>F19</f>
        <v>99.446</v>
      </c>
      <c r="G25" s="298"/>
      <c r="H25" s="28"/>
      <c r="J25" s="120"/>
    </row>
    <row r="26" spans="1:10" s="118" customFormat="1" ht="21">
      <c r="A26" s="146" t="s">
        <v>14</v>
      </c>
      <c r="B26" s="31">
        <v>162</v>
      </c>
      <c r="C26" s="26">
        <v>162211311</v>
      </c>
      <c r="D26" s="26" t="s">
        <v>115</v>
      </c>
      <c r="E26" s="26" t="s">
        <v>17</v>
      </c>
      <c r="F26" s="27">
        <f>F27</f>
        <v>99.446</v>
      </c>
      <c r="G26" s="298"/>
      <c r="H26" s="28">
        <f>F26*G26</f>
        <v>0</v>
      </c>
      <c r="J26" s="120"/>
    </row>
    <row r="27" spans="1:10" s="121" customFormat="1" ht="13.8">
      <c r="A27" s="182"/>
      <c r="B27" s="26"/>
      <c r="C27" s="26"/>
      <c r="D27" s="29" t="s">
        <v>116</v>
      </c>
      <c r="E27" s="26"/>
      <c r="F27" s="30">
        <f>F19</f>
        <v>99.446</v>
      </c>
      <c r="G27" s="298"/>
      <c r="H27" s="28"/>
      <c r="J27" s="120"/>
    </row>
    <row r="28" spans="1:10" s="118" customFormat="1" ht="21">
      <c r="A28" s="146" t="s">
        <v>355</v>
      </c>
      <c r="B28" s="31">
        <v>162</v>
      </c>
      <c r="C28" s="26" t="s">
        <v>399</v>
      </c>
      <c r="D28" s="26" t="s">
        <v>400</v>
      </c>
      <c r="E28" s="26" t="s">
        <v>17</v>
      </c>
      <c r="F28" s="27">
        <f>F29</f>
        <v>1990</v>
      </c>
      <c r="G28" s="298"/>
      <c r="H28" s="28">
        <f>F28*G28</f>
        <v>0</v>
      </c>
      <c r="J28" s="120"/>
    </row>
    <row r="29" spans="1:10" s="121" customFormat="1" ht="13.8">
      <c r="A29" s="182"/>
      <c r="B29" s="26"/>
      <c r="C29" s="26"/>
      <c r="D29" s="29" t="s">
        <v>1779</v>
      </c>
      <c r="E29" s="26"/>
      <c r="F29" s="30">
        <f>20*99.5</f>
        <v>1990</v>
      </c>
      <c r="G29" s="298"/>
      <c r="H29" s="28"/>
      <c r="J29" s="120"/>
    </row>
    <row r="30" spans="1:10" s="118" customFormat="1" ht="21">
      <c r="A30" s="146" t="s">
        <v>356</v>
      </c>
      <c r="B30" s="31">
        <v>162</v>
      </c>
      <c r="C30" s="26" t="s">
        <v>401</v>
      </c>
      <c r="D30" s="26" t="s">
        <v>402</v>
      </c>
      <c r="E30" s="26" t="s">
        <v>17</v>
      </c>
      <c r="F30" s="27">
        <f>F31</f>
        <v>36</v>
      </c>
      <c r="G30" s="298"/>
      <c r="H30" s="28">
        <f>F30*G30</f>
        <v>0</v>
      </c>
      <c r="J30" s="120"/>
    </row>
    <row r="31" spans="1:10" s="121" customFormat="1" ht="13.8">
      <c r="A31" s="182"/>
      <c r="B31" s="26"/>
      <c r="C31" s="26"/>
      <c r="D31" s="29" t="s">
        <v>1780</v>
      </c>
      <c r="E31" s="26"/>
      <c r="F31" s="30">
        <v>36</v>
      </c>
      <c r="G31" s="298"/>
      <c r="H31" s="28"/>
      <c r="J31" s="120"/>
    </row>
    <row r="32" spans="1:10" s="118" customFormat="1" ht="21">
      <c r="A32" s="146" t="s">
        <v>182</v>
      </c>
      <c r="B32" s="31">
        <v>162</v>
      </c>
      <c r="C32" s="26">
        <v>162751119</v>
      </c>
      <c r="D32" s="26" t="s">
        <v>403</v>
      </c>
      <c r="E32" s="26" t="s">
        <v>17</v>
      </c>
      <c r="F32" s="27">
        <f>F33</f>
        <v>360</v>
      </c>
      <c r="G32" s="298"/>
      <c r="H32" s="28">
        <f>F32*G32</f>
        <v>0</v>
      </c>
      <c r="J32" s="120"/>
    </row>
    <row r="33" spans="1:10" s="121" customFormat="1" ht="13.8">
      <c r="A33" s="182"/>
      <c r="B33" s="26"/>
      <c r="C33" s="26"/>
      <c r="D33" s="29" t="s">
        <v>1781</v>
      </c>
      <c r="E33" s="26"/>
      <c r="F33" s="30">
        <f>10*36</f>
        <v>360</v>
      </c>
      <c r="G33" s="298"/>
      <c r="H33" s="28"/>
      <c r="J33" s="120"/>
    </row>
    <row r="34" spans="1:10" s="118" customFormat="1" ht="13.8">
      <c r="A34" s="146" t="s">
        <v>357</v>
      </c>
      <c r="B34" s="31">
        <v>171</v>
      </c>
      <c r="C34" s="26" t="s">
        <v>404</v>
      </c>
      <c r="D34" s="26" t="s">
        <v>405</v>
      </c>
      <c r="E34" s="26" t="s">
        <v>18</v>
      </c>
      <c r="F34" s="27">
        <f>F35</f>
        <v>199.3</v>
      </c>
      <c r="G34" s="298"/>
      <c r="H34" s="28">
        <f>F34*G34</f>
        <v>0</v>
      </c>
      <c r="J34" s="120"/>
    </row>
    <row r="35" spans="1:10" s="121" customFormat="1" ht="13.8">
      <c r="A35" s="182"/>
      <c r="B35" s="26"/>
      <c r="C35" s="26"/>
      <c r="D35" s="29" t="s">
        <v>1735</v>
      </c>
      <c r="E35" s="26"/>
      <c r="F35" s="30">
        <f>180+19.3</f>
        <v>199.3</v>
      </c>
      <c r="G35" s="298"/>
      <c r="H35" s="28"/>
      <c r="J35" s="120"/>
    </row>
    <row r="36" spans="1:10" s="118" customFormat="1" ht="13.8">
      <c r="A36" s="146" t="s">
        <v>358</v>
      </c>
      <c r="B36" s="31">
        <v>171</v>
      </c>
      <c r="C36" s="26">
        <v>171151111</v>
      </c>
      <c r="D36" s="26" t="s">
        <v>1744</v>
      </c>
      <c r="E36" s="26" t="s">
        <v>17</v>
      </c>
      <c r="F36" s="27">
        <f>F37</f>
        <v>5.79</v>
      </c>
      <c r="G36" s="298"/>
      <c r="H36" s="28">
        <f>F36*G36</f>
        <v>0</v>
      </c>
      <c r="J36" s="120"/>
    </row>
    <row r="37" spans="1:10" s="121" customFormat="1" ht="13.8">
      <c r="A37" s="182"/>
      <c r="B37" s="26"/>
      <c r="C37" s="26"/>
      <c r="D37" s="29" t="s">
        <v>1745</v>
      </c>
      <c r="E37" s="26"/>
      <c r="F37" s="30">
        <f>19.3*0.3</f>
        <v>5.79</v>
      </c>
      <c r="G37" s="298"/>
      <c r="H37" s="28"/>
      <c r="J37" s="120"/>
    </row>
    <row r="38" spans="1:10" s="167" customFormat="1" ht="15">
      <c r="A38" s="189" t="s">
        <v>359</v>
      </c>
      <c r="B38" s="190">
        <v>581</v>
      </c>
      <c r="C38" s="164">
        <v>58154410</v>
      </c>
      <c r="D38" s="164" t="s">
        <v>1746</v>
      </c>
      <c r="E38" s="164" t="s">
        <v>130</v>
      </c>
      <c r="F38" s="165">
        <f>2.5*F36</f>
        <v>14.475</v>
      </c>
      <c r="G38" s="300"/>
      <c r="H38" s="166">
        <f>F38*G38</f>
        <v>0</v>
      </c>
      <c r="J38" s="168"/>
    </row>
    <row r="39" spans="1:10" s="118" customFormat="1" ht="13.8">
      <c r="A39" s="146" t="s">
        <v>360</v>
      </c>
      <c r="B39" s="31">
        <v>171</v>
      </c>
      <c r="C39" s="26" t="s">
        <v>406</v>
      </c>
      <c r="D39" s="26" t="s">
        <v>407</v>
      </c>
      <c r="E39" s="26" t="s">
        <v>130</v>
      </c>
      <c r="F39" s="27">
        <f>F40</f>
        <v>54</v>
      </c>
      <c r="G39" s="298"/>
      <c r="H39" s="28">
        <f>F39*G39</f>
        <v>0</v>
      </c>
      <c r="J39" s="120"/>
    </row>
    <row r="40" spans="1:10" s="121" customFormat="1" ht="13.8">
      <c r="A40" s="182"/>
      <c r="B40" s="26"/>
      <c r="C40" s="26"/>
      <c r="D40" s="29" t="s">
        <v>1782</v>
      </c>
      <c r="E40" s="26"/>
      <c r="F40" s="30">
        <f>36*1.5</f>
        <v>54</v>
      </c>
      <c r="G40" s="298"/>
      <c r="H40" s="28"/>
      <c r="J40" s="120"/>
    </row>
    <row r="41" spans="1:10" s="118" customFormat="1" ht="13.8">
      <c r="A41" s="146" t="s">
        <v>361</v>
      </c>
      <c r="B41" s="31">
        <v>171</v>
      </c>
      <c r="C41" s="26">
        <v>171251201</v>
      </c>
      <c r="D41" s="26" t="s">
        <v>117</v>
      </c>
      <c r="E41" s="26" t="s">
        <v>17</v>
      </c>
      <c r="F41" s="27">
        <f>F42</f>
        <v>99.446</v>
      </c>
      <c r="G41" s="298"/>
      <c r="H41" s="28">
        <f>F41*G41</f>
        <v>0</v>
      </c>
      <c r="J41" s="120"/>
    </row>
    <row r="42" spans="1:10" s="121" customFormat="1" ht="13.8">
      <c r="A42" s="182"/>
      <c r="B42" s="26"/>
      <c r="C42" s="26"/>
      <c r="D42" s="29" t="s">
        <v>429</v>
      </c>
      <c r="E42" s="26"/>
      <c r="F42" s="30">
        <f>F19</f>
        <v>99.446</v>
      </c>
      <c r="G42" s="298"/>
      <c r="H42" s="28"/>
      <c r="J42" s="120"/>
    </row>
    <row r="43" spans="1:10" s="118" customFormat="1" ht="24" customHeight="1">
      <c r="A43" s="146" t="s">
        <v>362</v>
      </c>
      <c r="B43" s="31">
        <v>181</v>
      </c>
      <c r="C43" s="26">
        <v>181111111</v>
      </c>
      <c r="D43" s="26" t="s">
        <v>423</v>
      </c>
      <c r="E43" s="26" t="s">
        <v>18</v>
      </c>
      <c r="F43" s="27">
        <f>F44</f>
        <v>534</v>
      </c>
      <c r="G43" s="298"/>
      <c r="H43" s="28">
        <f>F43*G43</f>
        <v>0</v>
      </c>
      <c r="J43" s="120"/>
    </row>
    <row r="44" spans="1:10" s="121" customFormat="1" ht="24" customHeight="1">
      <c r="A44" s="182"/>
      <c r="B44" s="26"/>
      <c r="C44" s="26"/>
      <c r="D44" s="29" t="s">
        <v>1732</v>
      </c>
      <c r="E44" s="26"/>
      <c r="F44" s="30">
        <v>534</v>
      </c>
      <c r="G44" s="298"/>
      <c r="H44" s="28"/>
      <c r="J44" s="120"/>
    </row>
    <row r="45" spans="1:10" s="118" customFormat="1" ht="13.8">
      <c r="A45" s="146" t="s">
        <v>183</v>
      </c>
      <c r="B45" s="31">
        <v>181</v>
      </c>
      <c r="C45" s="26">
        <v>181311103</v>
      </c>
      <c r="D45" s="26" t="s">
        <v>1733</v>
      </c>
      <c r="E45" s="26" t="s">
        <v>18</v>
      </c>
      <c r="F45" s="27">
        <f>F46</f>
        <v>470</v>
      </c>
      <c r="G45" s="298"/>
      <c r="H45" s="28">
        <f>F45*G45</f>
        <v>0</v>
      </c>
      <c r="J45" s="120"/>
    </row>
    <row r="46" spans="1:10" s="121" customFormat="1" ht="13.8">
      <c r="A46" s="182"/>
      <c r="B46" s="26"/>
      <c r="C46" s="26"/>
      <c r="D46" s="29" t="s">
        <v>1734</v>
      </c>
      <c r="E46" s="26"/>
      <c r="F46" s="30">
        <v>470</v>
      </c>
      <c r="G46" s="298"/>
      <c r="H46" s="28"/>
      <c r="J46" s="120"/>
    </row>
    <row r="47" spans="1:10" s="118" customFormat="1" ht="13.8">
      <c r="A47" s="146" t="s">
        <v>184</v>
      </c>
      <c r="B47" s="31">
        <v>181</v>
      </c>
      <c r="C47" s="26">
        <v>181411131</v>
      </c>
      <c r="D47" s="26" t="s">
        <v>352</v>
      </c>
      <c r="E47" s="26" t="s">
        <v>18</v>
      </c>
      <c r="F47" s="27">
        <f>F48</f>
        <v>534</v>
      </c>
      <c r="G47" s="298"/>
      <c r="H47" s="28">
        <f>F47*G47</f>
        <v>0</v>
      </c>
      <c r="J47" s="120"/>
    </row>
    <row r="48" spans="1:10" s="121" customFormat="1" ht="13.8">
      <c r="A48" s="182"/>
      <c r="B48" s="26"/>
      <c r="C48" s="26"/>
      <c r="D48" s="29" t="s">
        <v>422</v>
      </c>
      <c r="E48" s="26"/>
      <c r="F48" s="30">
        <v>534</v>
      </c>
      <c r="G48" s="298"/>
      <c r="H48" s="28"/>
      <c r="J48" s="120"/>
    </row>
    <row r="49" spans="1:10" s="167" customFormat="1" ht="15">
      <c r="A49" s="189" t="s">
        <v>363</v>
      </c>
      <c r="B49" s="190">
        <v>5</v>
      </c>
      <c r="C49" s="164">
        <v>572410</v>
      </c>
      <c r="D49" s="164" t="s">
        <v>354</v>
      </c>
      <c r="E49" s="164" t="s">
        <v>353</v>
      </c>
      <c r="F49" s="165">
        <f>0.2*F47</f>
        <v>106.80000000000001</v>
      </c>
      <c r="G49" s="300"/>
      <c r="H49" s="166">
        <f>F49*G49</f>
        <v>0</v>
      </c>
      <c r="J49" s="168"/>
    </row>
    <row r="50" spans="1:10" s="118" customFormat="1" ht="21">
      <c r="A50" s="146" t="s">
        <v>364</v>
      </c>
      <c r="B50" s="31" t="s">
        <v>424</v>
      </c>
      <c r="C50" s="26" t="s">
        <v>425</v>
      </c>
      <c r="D50" s="26" t="s">
        <v>426</v>
      </c>
      <c r="E50" s="26" t="s">
        <v>18</v>
      </c>
      <c r="F50" s="27">
        <f>F51</f>
        <v>534</v>
      </c>
      <c r="G50" s="298"/>
      <c r="H50" s="28">
        <f>F50*G50</f>
        <v>0</v>
      </c>
      <c r="J50" s="120"/>
    </row>
    <row r="51" spans="1:10" s="121" customFormat="1" ht="13.8">
      <c r="A51" s="182"/>
      <c r="B51" s="26"/>
      <c r="C51" s="26"/>
      <c r="D51" s="29" t="s">
        <v>1731</v>
      </c>
      <c r="E51" s="26"/>
      <c r="F51" s="30">
        <v>534</v>
      </c>
      <c r="G51" s="298"/>
      <c r="H51" s="28"/>
      <c r="J51" s="120"/>
    </row>
    <row r="52" spans="1:10" s="167" customFormat="1" ht="15">
      <c r="A52" s="189" t="s">
        <v>365</v>
      </c>
      <c r="B52" s="190" t="s">
        <v>428</v>
      </c>
      <c r="C52" s="164">
        <v>10371500</v>
      </c>
      <c r="D52" s="164" t="s">
        <v>427</v>
      </c>
      <c r="E52" s="164" t="s">
        <v>17</v>
      </c>
      <c r="F52" s="165">
        <f>534*0.1</f>
        <v>53.400000000000006</v>
      </c>
      <c r="G52" s="300"/>
      <c r="H52" s="166">
        <f>F52*G52</f>
        <v>0</v>
      </c>
      <c r="J52" s="168"/>
    </row>
    <row r="53" spans="1:10" s="118" customFormat="1" ht="13.8">
      <c r="A53" s="146" t="s">
        <v>366</v>
      </c>
      <c r="B53" s="31" t="s">
        <v>436</v>
      </c>
      <c r="C53" s="26">
        <v>184813212</v>
      </c>
      <c r="D53" s="26" t="s">
        <v>1726</v>
      </c>
      <c r="E53" s="26" t="s">
        <v>74</v>
      </c>
      <c r="F53" s="27">
        <f>F54</f>
        <v>90</v>
      </c>
      <c r="G53" s="298"/>
      <c r="H53" s="28">
        <f>F53*G53</f>
        <v>0</v>
      </c>
      <c r="J53" s="120"/>
    </row>
    <row r="54" spans="1:10" s="121" customFormat="1" ht="13.8">
      <c r="A54" s="182"/>
      <c r="B54" s="26"/>
      <c r="C54" s="26"/>
      <c r="D54" s="29" t="s">
        <v>1727</v>
      </c>
      <c r="E54" s="26"/>
      <c r="F54" s="30">
        <f>3*30</f>
        <v>90</v>
      </c>
      <c r="G54" s="298"/>
      <c r="H54" s="28"/>
      <c r="J54" s="120"/>
    </row>
    <row r="55" spans="1:8" ht="15">
      <c r="A55" s="183"/>
      <c r="B55" s="15"/>
      <c r="C55" s="15">
        <v>3</v>
      </c>
      <c r="D55" s="15" t="s">
        <v>1777</v>
      </c>
      <c r="E55" s="15"/>
      <c r="F55" s="16"/>
      <c r="G55" s="299"/>
      <c r="H55" s="17">
        <f>SUM(H56:H73)</f>
        <v>0</v>
      </c>
    </row>
    <row r="56" spans="1:10" s="118" customFormat="1" ht="13.8">
      <c r="A56" s="146" t="s">
        <v>367</v>
      </c>
      <c r="B56" s="31">
        <v>338</v>
      </c>
      <c r="C56" s="26">
        <v>338171113</v>
      </c>
      <c r="D56" s="26" t="s">
        <v>1757</v>
      </c>
      <c r="E56" s="26" t="s">
        <v>26</v>
      </c>
      <c r="F56" s="27">
        <f>F57</f>
        <v>28</v>
      </c>
      <c r="G56" s="298"/>
      <c r="H56" s="28">
        <f>F56*G56</f>
        <v>0</v>
      </c>
      <c r="J56" s="120"/>
    </row>
    <row r="57" spans="1:10" s="121" customFormat="1" ht="13.8">
      <c r="A57" s="182"/>
      <c r="B57" s="26"/>
      <c r="C57" s="26"/>
      <c r="D57" s="29" t="s">
        <v>1758</v>
      </c>
      <c r="E57" s="26"/>
      <c r="F57" s="30">
        <v>28</v>
      </c>
      <c r="G57" s="298"/>
      <c r="H57" s="28"/>
      <c r="J57" s="120"/>
    </row>
    <row r="58" spans="1:10" s="167" customFormat="1" ht="15">
      <c r="A58" s="189" t="s">
        <v>368</v>
      </c>
      <c r="B58" s="190">
        <v>553</v>
      </c>
      <c r="C58" s="164" t="s">
        <v>1759</v>
      </c>
      <c r="D58" s="164" t="s">
        <v>1760</v>
      </c>
      <c r="E58" s="164" t="s">
        <v>26</v>
      </c>
      <c r="F58" s="165">
        <v>10</v>
      </c>
      <c r="G58" s="300"/>
      <c r="H58" s="166">
        <f>F58*G58</f>
        <v>0</v>
      </c>
      <c r="J58" s="168"/>
    </row>
    <row r="59" spans="1:10" s="167" customFormat="1" ht="15">
      <c r="A59" s="189" t="s">
        <v>369</v>
      </c>
      <c r="B59" s="190">
        <v>553</v>
      </c>
      <c r="C59" s="164" t="s">
        <v>1761</v>
      </c>
      <c r="D59" s="164" t="s">
        <v>1762</v>
      </c>
      <c r="E59" s="164" t="s">
        <v>26</v>
      </c>
      <c r="F59" s="165">
        <v>18</v>
      </c>
      <c r="G59" s="300"/>
      <c r="H59" s="166">
        <f>F59*G59</f>
        <v>0</v>
      </c>
      <c r="J59" s="168"/>
    </row>
    <row r="60" spans="1:10" s="118" customFormat="1" ht="13.8">
      <c r="A60" s="146" t="s">
        <v>370</v>
      </c>
      <c r="B60" s="31">
        <v>348</v>
      </c>
      <c r="C60" s="26">
        <v>348121221</v>
      </c>
      <c r="D60" s="26" t="s">
        <v>1751</v>
      </c>
      <c r="E60" s="26" t="s">
        <v>26</v>
      </c>
      <c r="F60" s="27">
        <f>F61</f>
        <v>25</v>
      </c>
      <c r="G60" s="298"/>
      <c r="H60" s="28">
        <f>F60*G60</f>
        <v>0</v>
      </c>
      <c r="J60" s="120"/>
    </row>
    <row r="61" spans="1:10" s="121" customFormat="1" ht="13.8">
      <c r="A61" s="182"/>
      <c r="B61" s="26"/>
      <c r="C61" s="26"/>
      <c r="D61" s="29" t="s">
        <v>1756</v>
      </c>
      <c r="E61" s="26"/>
      <c r="F61" s="30">
        <v>25</v>
      </c>
      <c r="G61" s="298"/>
      <c r="H61" s="28"/>
      <c r="J61" s="120"/>
    </row>
    <row r="62" spans="1:10" s="167" customFormat="1" ht="15">
      <c r="A62" s="189" t="s">
        <v>371</v>
      </c>
      <c r="B62" s="190">
        <v>592</v>
      </c>
      <c r="C62" s="164" t="s">
        <v>1753</v>
      </c>
      <c r="D62" s="164" t="s">
        <v>1752</v>
      </c>
      <c r="E62" s="164" t="s">
        <v>26</v>
      </c>
      <c r="F62" s="165">
        <f>F60</f>
        <v>25</v>
      </c>
      <c r="G62" s="300"/>
      <c r="H62" s="166">
        <f>F62*G62</f>
        <v>0</v>
      </c>
      <c r="J62" s="168"/>
    </row>
    <row r="63" spans="1:10" s="167" customFormat="1" ht="24" customHeight="1">
      <c r="A63" s="189" t="s">
        <v>372</v>
      </c>
      <c r="B63" s="190">
        <v>592</v>
      </c>
      <c r="C63" s="164">
        <v>59232545</v>
      </c>
      <c r="D63" s="164" t="s">
        <v>1754</v>
      </c>
      <c r="E63" s="164" t="s">
        <v>26</v>
      </c>
      <c r="F63" s="165">
        <v>18</v>
      </c>
      <c r="G63" s="300"/>
      <c r="H63" s="166">
        <f>F63*G63</f>
        <v>0</v>
      </c>
      <c r="J63" s="168"/>
    </row>
    <row r="64" spans="1:10" s="167" customFormat="1" ht="15">
      <c r="A64" s="189" t="s">
        <v>373</v>
      </c>
      <c r="B64" s="190">
        <v>592</v>
      </c>
      <c r="C64" s="164">
        <v>59232550</v>
      </c>
      <c r="D64" s="164" t="s">
        <v>1755</v>
      </c>
      <c r="E64" s="164" t="s">
        <v>26</v>
      </c>
      <c r="F64" s="165">
        <v>15</v>
      </c>
      <c r="G64" s="300"/>
      <c r="H64" s="166">
        <f>F64*G64</f>
        <v>0</v>
      </c>
      <c r="J64" s="168"/>
    </row>
    <row r="65" spans="1:10" s="118" customFormat="1" ht="13.8">
      <c r="A65" s="146" t="s">
        <v>185</v>
      </c>
      <c r="B65" s="31" t="s">
        <v>1768</v>
      </c>
      <c r="C65" s="26">
        <v>348101210</v>
      </c>
      <c r="D65" s="26" t="s">
        <v>1767</v>
      </c>
      <c r="E65" s="26" t="s">
        <v>26</v>
      </c>
      <c r="F65" s="27">
        <f>F66</f>
        <v>1</v>
      </c>
      <c r="G65" s="298"/>
      <c r="H65" s="28">
        <f>F65*G65</f>
        <v>0</v>
      </c>
      <c r="J65" s="120"/>
    </row>
    <row r="66" spans="1:10" s="121" customFormat="1" ht="13.8">
      <c r="A66" s="182"/>
      <c r="B66" s="26"/>
      <c r="C66" s="26"/>
      <c r="D66" s="29" t="s">
        <v>1769</v>
      </c>
      <c r="E66" s="26"/>
      <c r="F66" s="30">
        <v>1</v>
      </c>
      <c r="G66" s="298"/>
      <c r="H66" s="28"/>
      <c r="J66" s="120"/>
    </row>
    <row r="67" spans="1:10" s="167" customFormat="1" ht="15">
      <c r="A67" s="189" t="s">
        <v>374</v>
      </c>
      <c r="B67" s="190" t="s">
        <v>1771</v>
      </c>
      <c r="C67" s="164" t="s">
        <v>1772</v>
      </c>
      <c r="D67" s="164" t="s">
        <v>1770</v>
      </c>
      <c r="E67" s="164" t="s">
        <v>26</v>
      </c>
      <c r="F67" s="165">
        <f>F65</f>
        <v>1</v>
      </c>
      <c r="G67" s="300"/>
      <c r="H67" s="166">
        <f>F67*G67</f>
        <v>0</v>
      </c>
      <c r="J67" s="168"/>
    </row>
    <row r="68" spans="1:10" s="118" customFormat="1" ht="13.8">
      <c r="A68" s="146" t="s">
        <v>375</v>
      </c>
      <c r="B68" s="31" t="s">
        <v>1768</v>
      </c>
      <c r="C68" s="26">
        <v>348101230</v>
      </c>
      <c r="D68" s="26" t="s">
        <v>1773</v>
      </c>
      <c r="E68" s="26" t="s">
        <v>26</v>
      </c>
      <c r="F68" s="27">
        <f>F69</f>
        <v>1</v>
      </c>
      <c r="G68" s="298"/>
      <c r="H68" s="28">
        <f>F68*G68</f>
        <v>0</v>
      </c>
      <c r="J68" s="120"/>
    </row>
    <row r="69" spans="1:10" s="167" customFormat="1" ht="15">
      <c r="A69" s="189"/>
      <c r="B69" s="190"/>
      <c r="C69" s="164"/>
      <c r="D69" s="29" t="s">
        <v>1774</v>
      </c>
      <c r="E69" s="164"/>
      <c r="F69" s="165">
        <v>1</v>
      </c>
      <c r="G69" s="300"/>
      <c r="H69" s="166"/>
      <c r="J69" s="168"/>
    </row>
    <row r="70" spans="1:10" s="167" customFormat="1" ht="15">
      <c r="A70" s="189" t="s">
        <v>376</v>
      </c>
      <c r="B70" s="190" t="s">
        <v>1771</v>
      </c>
      <c r="C70" s="164" t="s">
        <v>1775</v>
      </c>
      <c r="D70" s="164" t="s">
        <v>1776</v>
      </c>
      <c r="E70" s="164" t="s">
        <v>26</v>
      </c>
      <c r="F70" s="165">
        <f>F68</f>
        <v>1</v>
      </c>
      <c r="G70" s="300"/>
      <c r="H70" s="166">
        <f>F70*G70</f>
        <v>0</v>
      </c>
      <c r="J70" s="168"/>
    </row>
    <row r="71" spans="1:10" s="118" customFormat="1" ht="13.8">
      <c r="A71" s="146" t="s">
        <v>377</v>
      </c>
      <c r="B71" s="31">
        <v>348</v>
      </c>
      <c r="C71" s="26">
        <v>348171120</v>
      </c>
      <c r="D71" s="26" t="s">
        <v>1763</v>
      </c>
      <c r="E71" s="26" t="s">
        <v>74</v>
      </c>
      <c r="F71" s="27">
        <f>F72</f>
        <v>63</v>
      </c>
      <c r="G71" s="298"/>
      <c r="H71" s="28">
        <f>F71*G71</f>
        <v>0</v>
      </c>
      <c r="J71" s="120"/>
    </row>
    <row r="72" spans="1:10" s="121" customFormat="1" ht="13.8">
      <c r="A72" s="182"/>
      <c r="B72" s="26"/>
      <c r="C72" s="26"/>
      <c r="D72" s="29" t="s">
        <v>1764</v>
      </c>
      <c r="E72" s="26"/>
      <c r="F72" s="30">
        <f>25*2.52</f>
        <v>63</v>
      </c>
      <c r="G72" s="298"/>
      <c r="H72" s="28"/>
      <c r="J72" s="120"/>
    </row>
    <row r="73" spans="1:10" s="167" customFormat="1" ht="15">
      <c r="A73" s="189" t="s">
        <v>378</v>
      </c>
      <c r="B73" s="190">
        <v>348</v>
      </c>
      <c r="C73" s="164" t="s">
        <v>1766</v>
      </c>
      <c r="D73" s="164" t="s">
        <v>1765</v>
      </c>
      <c r="E73" s="164" t="s">
        <v>26</v>
      </c>
      <c r="F73" s="165">
        <v>25</v>
      </c>
      <c r="G73" s="300"/>
      <c r="H73" s="166">
        <f>F73*G73</f>
        <v>0</v>
      </c>
      <c r="J73" s="168"/>
    </row>
    <row r="74" spans="1:8" ht="15">
      <c r="A74" s="183"/>
      <c r="B74" s="15"/>
      <c r="C74" s="15">
        <v>5</v>
      </c>
      <c r="D74" s="15" t="s">
        <v>121</v>
      </c>
      <c r="E74" s="15"/>
      <c r="F74" s="16"/>
      <c r="G74" s="299"/>
      <c r="H74" s="17">
        <f>SUM(H75:H84)</f>
        <v>0</v>
      </c>
    </row>
    <row r="75" spans="1:10" s="118" customFormat="1" ht="13.8">
      <c r="A75" s="146" t="s">
        <v>379</v>
      </c>
      <c r="B75" s="31">
        <v>564</v>
      </c>
      <c r="C75" s="26">
        <v>564831011</v>
      </c>
      <c r="D75" s="26" t="s">
        <v>1736</v>
      </c>
      <c r="E75" s="26" t="s">
        <v>18</v>
      </c>
      <c r="F75" s="27">
        <f>F76</f>
        <v>19.3</v>
      </c>
      <c r="G75" s="298"/>
      <c r="H75" s="28">
        <f>F75*G75</f>
        <v>0</v>
      </c>
      <c r="J75" s="120"/>
    </row>
    <row r="76" spans="1:10" s="121" customFormat="1" ht="13.8">
      <c r="A76" s="182"/>
      <c r="B76" s="26"/>
      <c r="C76" s="26"/>
      <c r="D76" s="29" t="s">
        <v>1737</v>
      </c>
      <c r="E76" s="26"/>
      <c r="F76" s="30">
        <v>19.3</v>
      </c>
      <c r="G76" s="298"/>
      <c r="H76" s="28"/>
      <c r="J76" s="120"/>
    </row>
    <row r="77" spans="1:10" s="118" customFormat="1" ht="13.8">
      <c r="A77" s="146" t="s">
        <v>380</v>
      </c>
      <c r="B77" s="31">
        <v>564</v>
      </c>
      <c r="C77" s="26">
        <v>564871111</v>
      </c>
      <c r="D77" s="26" t="s">
        <v>421</v>
      </c>
      <c r="E77" s="26" t="s">
        <v>18</v>
      </c>
      <c r="F77" s="27">
        <f>F78</f>
        <v>180</v>
      </c>
      <c r="G77" s="298"/>
      <c r="H77" s="28">
        <f>F77*G77</f>
        <v>0</v>
      </c>
      <c r="J77" s="120"/>
    </row>
    <row r="78" spans="1:10" s="121" customFormat="1" ht="13.8">
      <c r="A78" s="182"/>
      <c r="B78" s="26"/>
      <c r="C78" s="26"/>
      <c r="D78" s="29" t="s">
        <v>420</v>
      </c>
      <c r="E78" s="26"/>
      <c r="F78" s="30">
        <v>180</v>
      </c>
      <c r="G78" s="298"/>
      <c r="H78" s="28"/>
      <c r="J78" s="120"/>
    </row>
    <row r="79" spans="1:10" s="118" customFormat="1" ht="13.95" customHeight="1">
      <c r="A79" s="146" t="s">
        <v>381</v>
      </c>
      <c r="B79" s="31">
        <v>598</v>
      </c>
      <c r="C79" s="26">
        <v>596211110</v>
      </c>
      <c r="D79" s="26" t="s">
        <v>1738</v>
      </c>
      <c r="E79" s="26" t="s">
        <v>18</v>
      </c>
      <c r="F79" s="27">
        <f>SUM(F80:F80)</f>
        <v>19.3</v>
      </c>
      <c r="G79" s="298"/>
      <c r="H79" s="28">
        <f>F79*G79</f>
        <v>0</v>
      </c>
      <c r="J79" s="120"/>
    </row>
    <row r="80" spans="1:10" s="121" customFormat="1" ht="13.8">
      <c r="A80" s="182"/>
      <c r="B80" s="26"/>
      <c r="C80" s="26"/>
      <c r="D80" s="29" t="s">
        <v>1737</v>
      </c>
      <c r="E80" s="26"/>
      <c r="F80" s="30">
        <v>19.3</v>
      </c>
      <c r="G80" s="298"/>
      <c r="H80" s="28"/>
      <c r="J80" s="120"/>
    </row>
    <row r="81" spans="1:10" s="167" customFormat="1" ht="15">
      <c r="A81" s="189">
        <v>39</v>
      </c>
      <c r="B81" s="164">
        <v>592</v>
      </c>
      <c r="C81" s="164" t="s">
        <v>1740</v>
      </c>
      <c r="D81" s="164" t="s">
        <v>1739</v>
      </c>
      <c r="E81" s="164" t="s">
        <v>18</v>
      </c>
      <c r="F81" s="165">
        <f>1.1*F80</f>
        <v>21.230000000000004</v>
      </c>
      <c r="G81" s="300"/>
      <c r="H81" s="166">
        <f>F81*G81</f>
        <v>0</v>
      </c>
      <c r="J81" s="168"/>
    </row>
    <row r="82" spans="1:10" s="118" customFormat="1" ht="13.8">
      <c r="A82" s="146" t="s">
        <v>382</v>
      </c>
      <c r="B82" s="31">
        <v>596</v>
      </c>
      <c r="C82" s="26">
        <v>596211212</v>
      </c>
      <c r="D82" s="26" t="s">
        <v>1741</v>
      </c>
      <c r="E82" s="26" t="s">
        <v>18</v>
      </c>
      <c r="F82" s="27">
        <f>F83</f>
        <v>180</v>
      </c>
      <c r="G82" s="298"/>
      <c r="H82" s="28">
        <f>F82*G82</f>
        <v>0</v>
      </c>
      <c r="J82" s="120"/>
    </row>
    <row r="83" spans="1:10" s="121" customFormat="1" ht="13.8">
      <c r="A83" s="146"/>
      <c r="B83" s="26"/>
      <c r="C83" s="26"/>
      <c r="D83" s="29" t="s">
        <v>420</v>
      </c>
      <c r="E83" s="26"/>
      <c r="F83" s="30">
        <v>180</v>
      </c>
      <c r="G83" s="298"/>
      <c r="H83" s="28"/>
      <c r="J83" s="120"/>
    </row>
    <row r="84" spans="1:10" s="167" customFormat="1" ht="15">
      <c r="A84" s="146">
        <v>41</v>
      </c>
      <c r="B84" s="164">
        <v>592</v>
      </c>
      <c r="C84" s="164">
        <v>59245213</v>
      </c>
      <c r="D84" s="164" t="s">
        <v>1742</v>
      </c>
      <c r="E84" s="164" t="s">
        <v>18</v>
      </c>
      <c r="F84" s="165">
        <f>1.1*F83</f>
        <v>198.00000000000003</v>
      </c>
      <c r="G84" s="300"/>
      <c r="H84" s="166">
        <f>F84*G84</f>
        <v>0</v>
      </c>
      <c r="J84" s="168"/>
    </row>
    <row r="85" spans="1:8" ht="15">
      <c r="A85" s="146"/>
      <c r="B85" s="15"/>
      <c r="C85" s="15">
        <v>6</v>
      </c>
      <c r="D85" s="15" t="s">
        <v>123</v>
      </c>
      <c r="E85" s="15"/>
      <c r="F85" s="16"/>
      <c r="G85" s="299"/>
      <c r="H85" s="17">
        <f>SUM(H86:H89)</f>
        <v>0</v>
      </c>
    </row>
    <row r="86" spans="1:10" s="118" customFormat="1" ht="13.95" customHeight="1">
      <c r="A86" s="146" t="s">
        <v>383</v>
      </c>
      <c r="B86" s="31">
        <v>637</v>
      </c>
      <c r="C86" s="26" t="s">
        <v>1749</v>
      </c>
      <c r="D86" s="26" t="s">
        <v>1783</v>
      </c>
      <c r="E86" s="26" t="s">
        <v>18</v>
      </c>
      <c r="F86" s="27">
        <f>F87</f>
        <v>15.76</v>
      </c>
      <c r="G86" s="298"/>
      <c r="H86" s="28">
        <f>F86*G86</f>
        <v>0</v>
      </c>
      <c r="J86" s="120"/>
    </row>
    <row r="87" spans="1:11" s="181" customFormat="1" ht="21.6">
      <c r="A87" s="182"/>
      <c r="B87" s="169"/>
      <c r="C87" s="170"/>
      <c r="D87" s="176" t="s">
        <v>1750</v>
      </c>
      <c r="E87" s="170"/>
      <c r="F87" s="177">
        <f>0.4*(15+11+7.4+6)</f>
        <v>15.76</v>
      </c>
      <c r="G87" s="303"/>
      <c r="H87" s="187"/>
      <c r="I87" s="180"/>
      <c r="K87" s="174"/>
    </row>
    <row r="88" spans="1:10" s="118" customFormat="1" ht="13.95" customHeight="1">
      <c r="A88" s="146" t="s">
        <v>384</v>
      </c>
      <c r="B88" s="31">
        <v>637</v>
      </c>
      <c r="C88" s="26">
        <v>637211121</v>
      </c>
      <c r="D88" s="26" t="s">
        <v>1747</v>
      </c>
      <c r="E88" s="26" t="s">
        <v>18</v>
      </c>
      <c r="F88" s="27">
        <f>F89</f>
        <v>6.728000000000001</v>
      </c>
      <c r="G88" s="298"/>
      <c r="H88" s="28">
        <f>F88*G88</f>
        <v>0</v>
      </c>
      <c r="J88" s="120"/>
    </row>
    <row r="89" spans="1:11" s="181" customFormat="1" ht="15">
      <c r="A89" s="182"/>
      <c r="B89" s="169"/>
      <c r="C89" s="170"/>
      <c r="D89" s="176" t="s">
        <v>1748</v>
      </c>
      <c r="E89" s="170"/>
      <c r="F89" s="177">
        <f>16.82*0.4</f>
        <v>6.728000000000001</v>
      </c>
      <c r="G89" s="303"/>
      <c r="H89" s="187"/>
      <c r="I89" s="180"/>
      <c r="K89" s="174"/>
    </row>
    <row r="90" spans="1:8" ht="15">
      <c r="A90" s="146"/>
      <c r="B90" s="15"/>
      <c r="C90" s="15">
        <v>9</v>
      </c>
      <c r="D90" s="15" t="s">
        <v>61</v>
      </c>
      <c r="E90" s="15"/>
      <c r="F90" s="16"/>
      <c r="G90" s="307"/>
      <c r="H90" s="17">
        <f>SUM(H91:H105)</f>
        <v>0</v>
      </c>
    </row>
    <row r="91" spans="1:10" s="123" customFormat="1" ht="13.8">
      <c r="A91" s="146">
        <v>44</v>
      </c>
      <c r="B91" s="26">
        <v>916</v>
      </c>
      <c r="C91" s="26">
        <v>916131213</v>
      </c>
      <c r="D91" s="26" t="s">
        <v>419</v>
      </c>
      <c r="E91" s="26" t="s">
        <v>74</v>
      </c>
      <c r="F91" s="27">
        <f>F92</f>
        <v>252</v>
      </c>
      <c r="G91" s="298"/>
      <c r="H91" s="28">
        <f>F91*G91</f>
        <v>0</v>
      </c>
      <c r="J91" s="120"/>
    </row>
    <row r="92" spans="1:11" s="181" customFormat="1" ht="15">
      <c r="A92" s="182"/>
      <c r="B92" s="169"/>
      <c r="C92" s="170"/>
      <c r="D92" s="176" t="s">
        <v>1743</v>
      </c>
      <c r="E92" s="170"/>
      <c r="F92" s="177">
        <v>252</v>
      </c>
      <c r="G92" s="303"/>
      <c r="H92" s="187"/>
      <c r="I92" s="180"/>
      <c r="K92" s="174"/>
    </row>
    <row r="93" spans="1:10" s="188" customFormat="1" ht="15">
      <c r="A93" s="146">
        <v>45</v>
      </c>
      <c r="B93" s="164">
        <v>592</v>
      </c>
      <c r="C93" s="164">
        <v>59217026</v>
      </c>
      <c r="D93" s="164" t="s">
        <v>418</v>
      </c>
      <c r="E93" s="164" t="s">
        <v>74</v>
      </c>
      <c r="F93" s="165">
        <f>1.1*F91</f>
        <v>277.20000000000005</v>
      </c>
      <c r="G93" s="300"/>
      <c r="H93" s="166">
        <f>F93*G93</f>
        <v>0</v>
      </c>
      <c r="J93" s="168"/>
    </row>
    <row r="94" spans="1:10" s="286" customFormat="1" ht="13.8">
      <c r="A94" s="146" t="s">
        <v>1806</v>
      </c>
      <c r="B94" s="26">
        <v>961</v>
      </c>
      <c r="C94" s="26">
        <v>961055111</v>
      </c>
      <c r="D94" s="26" t="s">
        <v>242</v>
      </c>
      <c r="E94" s="26" t="s">
        <v>17</v>
      </c>
      <c r="F94" s="27">
        <f>SUM(F95:F97)</f>
        <v>32.06</v>
      </c>
      <c r="G94" s="298"/>
      <c r="H94" s="28">
        <f>F94*G94</f>
        <v>0</v>
      </c>
      <c r="J94" s="287"/>
    </row>
    <row r="95" spans="1:10" s="123" customFormat="1" ht="13.8">
      <c r="A95" s="146"/>
      <c r="B95" s="169"/>
      <c r="C95" s="170"/>
      <c r="D95" s="176" t="s">
        <v>1714</v>
      </c>
      <c r="E95" s="170"/>
      <c r="F95" s="177">
        <f>0.2*96</f>
        <v>19.200000000000003</v>
      </c>
      <c r="G95" s="303"/>
      <c r="H95" s="187"/>
      <c r="J95" s="120"/>
    </row>
    <row r="96" spans="1:11" s="181" customFormat="1" ht="15">
      <c r="A96" s="146"/>
      <c r="B96" s="169"/>
      <c r="C96" s="170"/>
      <c r="D96" s="176" t="s">
        <v>1718</v>
      </c>
      <c r="E96" s="170"/>
      <c r="F96" s="177">
        <f>0.2*52.8</f>
        <v>10.56</v>
      </c>
      <c r="G96" s="303"/>
      <c r="H96" s="187"/>
      <c r="I96" s="180"/>
      <c r="K96" s="174"/>
    </row>
    <row r="97" spans="1:10" s="123" customFormat="1" ht="13.8">
      <c r="A97" s="146"/>
      <c r="B97" s="169"/>
      <c r="C97" s="170"/>
      <c r="D97" s="176" t="s">
        <v>1719</v>
      </c>
      <c r="E97" s="170"/>
      <c r="F97" s="177">
        <v>2.3</v>
      </c>
      <c r="G97" s="303"/>
      <c r="H97" s="187"/>
      <c r="J97" s="120"/>
    </row>
    <row r="98" spans="1:11" s="181" customFormat="1" ht="15">
      <c r="A98" s="146" t="s">
        <v>1807</v>
      </c>
      <c r="B98" s="26">
        <v>966</v>
      </c>
      <c r="C98" s="26">
        <v>966071711</v>
      </c>
      <c r="D98" s="26" t="s">
        <v>1721</v>
      </c>
      <c r="E98" s="26" t="s">
        <v>26</v>
      </c>
      <c r="F98" s="27">
        <f>F99</f>
        <v>28</v>
      </c>
      <c r="G98" s="298"/>
      <c r="H98" s="28">
        <f>F98*G98</f>
        <v>0</v>
      </c>
      <c r="I98" s="180"/>
      <c r="K98" s="174"/>
    </row>
    <row r="99" spans="1:10" s="123" customFormat="1" ht="13.8">
      <c r="A99" s="146"/>
      <c r="B99" s="26"/>
      <c r="C99" s="26"/>
      <c r="D99" s="29" t="s">
        <v>1720</v>
      </c>
      <c r="E99" s="26"/>
      <c r="F99" s="30">
        <v>28</v>
      </c>
      <c r="G99" s="298"/>
      <c r="H99" s="28"/>
      <c r="J99" s="120"/>
    </row>
    <row r="100" spans="1:11" s="181" customFormat="1" ht="15">
      <c r="A100" s="146" t="s">
        <v>1808</v>
      </c>
      <c r="B100" s="26">
        <v>966</v>
      </c>
      <c r="C100" s="26">
        <v>966071822</v>
      </c>
      <c r="D100" s="26" t="s">
        <v>1723</v>
      </c>
      <c r="E100" s="26" t="s">
        <v>74</v>
      </c>
      <c r="F100" s="27">
        <f>F101</f>
        <v>37.8</v>
      </c>
      <c r="G100" s="298"/>
      <c r="H100" s="28">
        <f>F100*G100</f>
        <v>0</v>
      </c>
      <c r="I100" s="180"/>
      <c r="K100" s="174"/>
    </row>
    <row r="101" spans="1:10" s="123" customFormat="1" ht="13.8">
      <c r="A101" s="146"/>
      <c r="B101" s="26"/>
      <c r="C101" s="26"/>
      <c r="D101" s="29" t="s">
        <v>474</v>
      </c>
      <c r="E101" s="26"/>
      <c r="F101" s="30">
        <v>37.8</v>
      </c>
      <c r="G101" s="298"/>
      <c r="H101" s="28"/>
      <c r="J101" s="120"/>
    </row>
    <row r="102" spans="1:11" s="181" customFormat="1" ht="15">
      <c r="A102" s="146" t="s">
        <v>1809</v>
      </c>
      <c r="B102" s="26">
        <v>966</v>
      </c>
      <c r="C102" s="26">
        <v>966072811</v>
      </c>
      <c r="D102" s="26" t="s">
        <v>1722</v>
      </c>
      <c r="E102" s="26" t="s">
        <v>74</v>
      </c>
      <c r="F102" s="27">
        <f>F103</f>
        <v>37.8</v>
      </c>
      <c r="G102" s="298"/>
      <c r="H102" s="28">
        <f>F102*G102</f>
        <v>0</v>
      </c>
      <c r="I102" s="180"/>
      <c r="K102" s="174"/>
    </row>
    <row r="103" spans="1:10" s="123" customFormat="1" ht="13.8">
      <c r="A103" s="146"/>
      <c r="B103" s="26"/>
      <c r="C103" s="26"/>
      <c r="D103" s="29" t="s">
        <v>474</v>
      </c>
      <c r="E103" s="26"/>
      <c r="F103" s="30">
        <v>37.8</v>
      </c>
      <c r="G103" s="298"/>
      <c r="H103" s="28"/>
      <c r="J103" s="120"/>
    </row>
    <row r="104" spans="1:11" s="181" customFormat="1" ht="15">
      <c r="A104" s="146" t="s">
        <v>1810</v>
      </c>
      <c r="B104" s="26">
        <v>966</v>
      </c>
      <c r="C104" s="26">
        <v>966073810</v>
      </c>
      <c r="D104" s="26" t="s">
        <v>475</v>
      </c>
      <c r="E104" s="26" t="s">
        <v>26</v>
      </c>
      <c r="F104" s="27">
        <f>F105</f>
        <v>1</v>
      </c>
      <c r="G104" s="298"/>
      <c r="H104" s="28">
        <f>F104*G104</f>
        <v>0</v>
      </c>
      <c r="I104" s="180"/>
      <c r="K104" s="174"/>
    </row>
    <row r="105" spans="1:10" s="123" customFormat="1" ht="13.8">
      <c r="A105" s="146"/>
      <c r="B105" s="26"/>
      <c r="C105" s="26"/>
      <c r="D105" s="29" t="s">
        <v>474</v>
      </c>
      <c r="E105" s="26"/>
      <c r="F105" s="30">
        <v>1</v>
      </c>
      <c r="G105" s="298"/>
      <c r="H105" s="28"/>
      <c r="J105" s="120"/>
    </row>
    <row r="106" spans="1:11" s="181" customFormat="1" ht="15">
      <c r="A106" s="146"/>
      <c r="B106" s="15"/>
      <c r="C106" s="15">
        <v>99</v>
      </c>
      <c r="D106" s="15" t="s">
        <v>346</v>
      </c>
      <c r="E106" s="15"/>
      <c r="F106" s="16"/>
      <c r="G106" s="307"/>
      <c r="H106" s="17">
        <f>SUM(H107:H115)</f>
        <v>0</v>
      </c>
      <c r="I106" s="180"/>
      <c r="K106" s="174"/>
    </row>
    <row r="107" spans="1:10" s="123" customFormat="1" ht="20.4">
      <c r="A107" s="146" t="s">
        <v>1811</v>
      </c>
      <c r="B107" s="26">
        <v>997</v>
      </c>
      <c r="C107" s="26">
        <v>997013112</v>
      </c>
      <c r="D107" s="26" t="s">
        <v>857</v>
      </c>
      <c r="E107" s="26" t="s">
        <v>130</v>
      </c>
      <c r="F107" s="27">
        <f>F108</f>
        <v>136.7</v>
      </c>
      <c r="G107" s="298"/>
      <c r="H107" s="28">
        <f>F107*G107</f>
        <v>0</v>
      </c>
      <c r="J107" s="120"/>
    </row>
    <row r="108" spans="1:11" s="181" customFormat="1" ht="15">
      <c r="A108" s="146" t="s">
        <v>1812</v>
      </c>
      <c r="B108" s="26">
        <v>997</v>
      </c>
      <c r="C108" s="26">
        <v>997013501</v>
      </c>
      <c r="D108" s="26" t="s">
        <v>414</v>
      </c>
      <c r="E108" s="26" t="s">
        <v>130</v>
      </c>
      <c r="F108" s="27">
        <v>136.7</v>
      </c>
      <c r="G108" s="298"/>
      <c r="H108" s="28">
        <f>F108*G108</f>
        <v>0</v>
      </c>
      <c r="I108" s="180"/>
      <c r="K108" s="174"/>
    </row>
    <row r="109" spans="1:11" s="181" customFormat="1" ht="15">
      <c r="A109" s="146" t="s">
        <v>1813</v>
      </c>
      <c r="B109" s="26">
        <v>997</v>
      </c>
      <c r="C109" s="26">
        <v>997013509</v>
      </c>
      <c r="D109" s="26" t="s">
        <v>169</v>
      </c>
      <c r="E109" s="26" t="s">
        <v>130</v>
      </c>
      <c r="F109" s="27">
        <f>F110</f>
        <v>2734</v>
      </c>
      <c r="G109" s="298"/>
      <c r="H109" s="28">
        <f>F109*G109</f>
        <v>0</v>
      </c>
      <c r="I109" s="180"/>
      <c r="K109" s="174"/>
    </row>
    <row r="110" spans="1:11" s="181" customFormat="1" ht="15">
      <c r="A110" s="146"/>
      <c r="B110" s="26"/>
      <c r="C110" s="26"/>
      <c r="D110" s="29" t="s">
        <v>1784</v>
      </c>
      <c r="E110" s="26"/>
      <c r="F110" s="30">
        <f>20*136.7</f>
        <v>2734</v>
      </c>
      <c r="G110" s="298"/>
      <c r="H110" s="28"/>
      <c r="I110" s="180"/>
      <c r="K110" s="174"/>
    </row>
    <row r="111" spans="1:10" s="123" customFormat="1" ht="13.8">
      <c r="A111" s="146" t="s">
        <v>1814</v>
      </c>
      <c r="B111" s="26">
        <v>997</v>
      </c>
      <c r="C111" s="26" t="s">
        <v>170</v>
      </c>
      <c r="D111" s="26" t="s">
        <v>171</v>
      </c>
      <c r="E111" s="26" t="s">
        <v>130</v>
      </c>
      <c r="F111" s="27">
        <f>F112</f>
        <v>136.7</v>
      </c>
      <c r="G111" s="298"/>
      <c r="H111" s="28">
        <f>F111*G111</f>
        <v>0</v>
      </c>
      <c r="J111" s="120"/>
    </row>
    <row r="112" spans="1:10" s="121" customFormat="1" ht="21">
      <c r="A112" s="146"/>
      <c r="B112" s="26"/>
      <c r="C112" s="26"/>
      <c r="D112" s="29" t="s">
        <v>430</v>
      </c>
      <c r="E112" s="26"/>
      <c r="F112" s="30">
        <f>F108</f>
        <v>136.7</v>
      </c>
      <c r="G112" s="298"/>
      <c r="H112" s="28"/>
      <c r="J112" s="120"/>
    </row>
    <row r="113" spans="1:10" s="123" customFormat="1" ht="13.8">
      <c r="A113" s="146" t="s">
        <v>1815</v>
      </c>
      <c r="B113" s="26">
        <v>998</v>
      </c>
      <c r="C113" s="26">
        <v>998223011</v>
      </c>
      <c r="D113" s="26" t="s">
        <v>431</v>
      </c>
      <c r="E113" s="26" t="s">
        <v>130</v>
      </c>
      <c r="F113" s="27">
        <v>131</v>
      </c>
      <c r="G113" s="298"/>
      <c r="H113" s="28">
        <f>F113*G113</f>
        <v>0</v>
      </c>
      <c r="J113" s="120"/>
    </row>
    <row r="114" spans="1:10" s="121" customFormat="1" ht="13.8">
      <c r="A114" s="146" t="s">
        <v>1816</v>
      </c>
      <c r="B114" s="26">
        <v>998</v>
      </c>
      <c r="C114" s="26" t="s">
        <v>63</v>
      </c>
      <c r="D114" s="26" t="s">
        <v>47</v>
      </c>
      <c r="E114" s="26" t="s">
        <v>46</v>
      </c>
      <c r="F114" s="27">
        <f>F115</f>
        <v>1</v>
      </c>
      <c r="G114" s="298"/>
      <c r="H114" s="28">
        <f>F114*G114</f>
        <v>0</v>
      </c>
      <c r="J114" s="120"/>
    </row>
    <row r="115" spans="1:10" s="123" customFormat="1" ht="20.4">
      <c r="A115" s="146"/>
      <c r="B115" s="26"/>
      <c r="C115" s="26"/>
      <c r="D115" s="29" t="s">
        <v>64</v>
      </c>
      <c r="E115" s="26"/>
      <c r="F115" s="30">
        <v>1</v>
      </c>
      <c r="G115" s="298"/>
      <c r="H115" s="28"/>
      <c r="J115" s="120"/>
    </row>
    <row r="116" spans="1:10" s="121" customFormat="1" ht="13.8">
      <c r="A116" s="32"/>
      <c r="B116" s="20"/>
      <c r="C116" s="20"/>
      <c r="D116" s="20"/>
      <c r="E116" s="20"/>
      <c r="F116" s="33"/>
      <c r="G116" s="24"/>
      <c r="H116" s="24"/>
      <c r="J116" s="120"/>
    </row>
    <row r="117" spans="1:10" s="123" customFormat="1" ht="13.8">
      <c r="A117" s="439" t="s">
        <v>23</v>
      </c>
      <c r="B117" s="440"/>
      <c r="C117" s="441"/>
      <c r="D117" s="159"/>
      <c r="E117" s="160"/>
      <c r="F117" s="161"/>
      <c r="G117" s="162"/>
      <c r="H117" s="163">
        <f>H8</f>
        <v>0</v>
      </c>
      <c r="J117" s="120"/>
    </row>
    <row r="118" spans="1:10" s="121" customFormat="1" ht="13.8">
      <c r="A118" s="18"/>
      <c r="B118" s="19"/>
      <c r="C118" s="19"/>
      <c r="D118" s="20"/>
      <c r="E118" s="21"/>
      <c r="F118" s="22"/>
      <c r="G118" s="23"/>
      <c r="H118" s="24"/>
      <c r="J118" s="120"/>
    </row>
    <row r="119" spans="1:8" ht="15">
      <c r="A119" s="25" t="s">
        <v>24</v>
      </c>
      <c r="B119" s="25"/>
      <c r="C119" s="25"/>
      <c r="D119" s="25"/>
      <c r="E119" s="25"/>
      <c r="F119" s="25"/>
      <c r="G119" s="144"/>
      <c r="H119" s="25"/>
    </row>
    <row r="120" spans="1:10" s="123" customFormat="1" ht="13.8">
      <c r="A120" s="438" t="s">
        <v>25</v>
      </c>
      <c r="B120" s="438"/>
      <c r="C120" s="438"/>
      <c r="D120" s="438"/>
      <c r="E120" s="438"/>
      <c r="F120" s="438"/>
      <c r="G120" s="438"/>
      <c r="H120" s="25"/>
      <c r="J120" s="120"/>
    </row>
    <row r="121" spans="1:10" s="123" customFormat="1" ht="15">
      <c r="A121" s="9"/>
      <c r="B121" s="9"/>
      <c r="C121" s="9"/>
      <c r="D121" s="9"/>
      <c r="E121" s="9"/>
      <c r="F121" s="9"/>
      <c r="G121" s="142"/>
      <c r="H121" s="9"/>
      <c r="J121" s="120"/>
    </row>
    <row r="122" spans="1:10" s="123" customFormat="1" ht="15">
      <c r="A122" s="9"/>
      <c r="B122" s="9"/>
      <c r="C122" s="9"/>
      <c r="D122" s="9"/>
      <c r="E122" s="9"/>
      <c r="F122" s="9"/>
      <c r="G122" s="142"/>
      <c r="H122" s="9"/>
      <c r="J122" s="120"/>
    </row>
    <row r="123" spans="1:10" s="121" customFormat="1" ht="15">
      <c r="A123" s="7"/>
      <c r="B123" s="7"/>
      <c r="C123" s="7"/>
      <c r="D123" s="7"/>
      <c r="E123" s="7"/>
      <c r="F123" s="7"/>
      <c r="G123" s="145"/>
      <c r="H123" s="7"/>
      <c r="J123" s="120"/>
    </row>
    <row r="124" spans="1:10" s="123" customFormat="1" ht="15">
      <c r="A124" s="7"/>
      <c r="B124" s="7"/>
      <c r="C124" s="7"/>
      <c r="D124" s="7"/>
      <c r="E124" s="7"/>
      <c r="F124" s="7"/>
      <c r="G124" s="145"/>
      <c r="H124" s="7"/>
      <c r="J124" s="120"/>
    </row>
    <row r="125" spans="1:10" s="121" customFormat="1" ht="15">
      <c r="A125" s="7"/>
      <c r="B125" s="7"/>
      <c r="C125" s="7"/>
      <c r="D125" s="7"/>
      <c r="E125" s="7"/>
      <c r="F125" s="7"/>
      <c r="G125" s="145"/>
      <c r="H125" s="7"/>
      <c r="J125" s="120"/>
    </row>
    <row r="126" spans="1:10" s="123" customFormat="1" ht="15">
      <c r="A126" s="7"/>
      <c r="B126" s="7"/>
      <c r="C126" s="7"/>
      <c r="D126" s="7"/>
      <c r="E126" s="7"/>
      <c r="F126" s="7"/>
      <c r="G126" s="145"/>
      <c r="H126" s="7"/>
      <c r="J126" s="120"/>
    </row>
    <row r="127" spans="1:10" s="123" customFormat="1" ht="15">
      <c r="A127" s="7"/>
      <c r="B127" s="7"/>
      <c r="C127" s="7"/>
      <c r="D127" s="7"/>
      <c r="E127" s="7"/>
      <c r="F127" s="7"/>
      <c r="G127" s="145"/>
      <c r="H127" s="7"/>
      <c r="J127" s="120"/>
    </row>
    <row r="128" spans="1:10" s="121" customFormat="1" ht="24" customHeight="1">
      <c r="A128" s="7"/>
      <c r="B128" s="7"/>
      <c r="C128" s="7"/>
      <c r="D128" s="7"/>
      <c r="E128" s="7"/>
      <c r="F128" s="7"/>
      <c r="G128" s="145"/>
      <c r="H128" s="7"/>
      <c r="J128" s="120"/>
    </row>
    <row r="133" ht="27" customHeight="1"/>
  </sheetData>
  <sheetProtection algorithmName="SHA-512" hashValue="oifs9ekpnIS0am4rvocvv7g2j6WZIxGHmK8UAKliGI1Vg/hZ9hsPaN/nXtRwUPdrC99kGGc1U9qQtcLSiY6kIQ==" saltValue="6X3s5q5N7UgrYCXdB/0mLQ==" spinCount="100000" sheet="1" objects="1" scenarios="1"/>
  <mergeCells count="2">
    <mergeCell ref="A117:C117"/>
    <mergeCell ref="A120:G120"/>
  </mergeCells>
  <printOptions/>
  <pageMargins left="0.7086614173228347" right="0.7086614173228347" top="0.7874015748031497" bottom="0.7874015748031497" header="0.31496062992125984" footer="0.31496062992125984"/>
  <pageSetup fitToHeight="99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6"/>
  <sheetViews>
    <sheetView zoomScale="150" zoomScaleNormal="150" workbookViewId="0" topLeftCell="A1">
      <selection activeCell="C19" sqref="C19"/>
    </sheetView>
  </sheetViews>
  <sheetFormatPr defaultColWidth="10.00390625" defaultRowHeight="15"/>
  <cols>
    <col min="1" max="2" width="3.7109375" style="209" customWidth="1"/>
    <col min="3" max="3" width="58.421875" style="209" customWidth="1"/>
    <col min="4" max="4" width="3.7109375" style="209" customWidth="1"/>
    <col min="5" max="5" width="6.7109375" style="209" customWidth="1"/>
    <col min="6" max="6" width="9.421875" style="216" customWidth="1"/>
    <col min="7" max="7" width="11.28125" style="216" customWidth="1"/>
    <col min="8" max="256" width="10.00390625" style="209" customWidth="1"/>
    <col min="257" max="258" width="3.7109375" style="209" customWidth="1"/>
    <col min="259" max="259" width="58.421875" style="209" customWidth="1"/>
    <col min="260" max="260" width="3.7109375" style="209" customWidth="1"/>
    <col min="261" max="261" width="6.7109375" style="209" customWidth="1"/>
    <col min="262" max="262" width="9.421875" style="209" customWidth="1"/>
    <col min="263" max="263" width="11.28125" style="209" customWidth="1"/>
    <col min="264" max="512" width="10.00390625" style="209" customWidth="1"/>
    <col min="513" max="514" width="3.7109375" style="209" customWidth="1"/>
    <col min="515" max="515" width="58.421875" style="209" customWidth="1"/>
    <col min="516" max="516" width="3.7109375" style="209" customWidth="1"/>
    <col min="517" max="517" width="6.7109375" style="209" customWidth="1"/>
    <col min="518" max="518" width="9.421875" style="209" customWidth="1"/>
    <col min="519" max="519" width="11.28125" style="209" customWidth="1"/>
    <col min="520" max="768" width="10.00390625" style="209" customWidth="1"/>
    <col min="769" max="770" width="3.7109375" style="209" customWidth="1"/>
    <col min="771" max="771" width="58.421875" style="209" customWidth="1"/>
    <col min="772" max="772" width="3.7109375" style="209" customWidth="1"/>
    <col min="773" max="773" width="6.7109375" style="209" customWidth="1"/>
    <col min="774" max="774" width="9.421875" style="209" customWidth="1"/>
    <col min="775" max="775" width="11.28125" style="209" customWidth="1"/>
    <col min="776" max="1024" width="10.00390625" style="209" customWidth="1"/>
    <col min="1025" max="1026" width="3.7109375" style="209" customWidth="1"/>
    <col min="1027" max="1027" width="58.421875" style="209" customWidth="1"/>
    <col min="1028" max="1028" width="3.7109375" style="209" customWidth="1"/>
    <col min="1029" max="1029" width="6.7109375" style="209" customWidth="1"/>
    <col min="1030" max="1030" width="9.421875" style="209" customWidth="1"/>
    <col min="1031" max="1031" width="11.28125" style="209" customWidth="1"/>
    <col min="1032" max="1280" width="10.00390625" style="209" customWidth="1"/>
    <col min="1281" max="1282" width="3.7109375" style="209" customWidth="1"/>
    <col min="1283" max="1283" width="58.421875" style="209" customWidth="1"/>
    <col min="1284" max="1284" width="3.7109375" style="209" customWidth="1"/>
    <col min="1285" max="1285" width="6.7109375" style="209" customWidth="1"/>
    <col min="1286" max="1286" width="9.421875" style="209" customWidth="1"/>
    <col min="1287" max="1287" width="11.28125" style="209" customWidth="1"/>
    <col min="1288" max="1536" width="10.00390625" style="209" customWidth="1"/>
    <col min="1537" max="1538" width="3.7109375" style="209" customWidth="1"/>
    <col min="1539" max="1539" width="58.421875" style="209" customWidth="1"/>
    <col min="1540" max="1540" width="3.7109375" style="209" customWidth="1"/>
    <col min="1541" max="1541" width="6.7109375" style="209" customWidth="1"/>
    <col min="1542" max="1542" width="9.421875" style="209" customWidth="1"/>
    <col min="1543" max="1543" width="11.28125" style="209" customWidth="1"/>
    <col min="1544" max="1792" width="10.00390625" style="209" customWidth="1"/>
    <col min="1793" max="1794" width="3.7109375" style="209" customWidth="1"/>
    <col min="1795" max="1795" width="58.421875" style="209" customWidth="1"/>
    <col min="1796" max="1796" width="3.7109375" style="209" customWidth="1"/>
    <col min="1797" max="1797" width="6.7109375" style="209" customWidth="1"/>
    <col min="1798" max="1798" width="9.421875" style="209" customWidth="1"/>
    <col min="1799" max="1799" width="11.28125" style="209" customWidth="1"/>
    <col min="1800" max="2048" width="10.00390625" style="209" customWidth="1"/>
    <col min="2049" max="2050" width="3.7109375" style="209" customWidth="1"/>
    <col min="2051" max="2051" width="58.421875" style="209" customWidth="1"/>
    <col min="2052" max="2052" width="3.7109375" style="209" customWidth="1"/>
    <col min="2053" max="2053" width="6.7109375" style="209" customWidth="1"/>
    <col min="2054" max="2054" width="9.421875" style="209" customWidth="1"/>
    <col min="2055" max="2055" width="11.28125" style="209" customWidth="1"/>
    <col min="2056" max="2304" width="10.00390625" style="209" customWidth="1"/>
    <col min="2305" max="2306" width="3.7109375" style="209" customWidth="1"/>
    <col min="2307" max="2307" width="58.421875" style="209" customWidth="1"/>
    <col min="2308" max="2308" width="3.7109375" style="209" customWidth="1"/>
    <col min="2309" max="2309" width="6.7109375" style="209" customWidth="1"/>
    <col min="2310" max="2310" width="9.421875" style="209" customWidth="1"/>
    <col min="2311" max="2311" width="11.28125" style="209" customWidth="1"/>
    <col min="2312" max="2560" width="10.00390625" style="209" customWidth="1"/>
    <col min="2561" max="2562" width="3.7109375" style="209" customWidth="1"/>
    <col min="2563" max="2563" width="58.421875" style="209" customWidth="1"/>
    <col min="2564" max="2564" width="3.7109375" style="209" customWidth="1"/>
    <col min="2565" max="2565" width="6.7109375" style="209" customWidth="1"/>
    <col min="2566" max="2566" width="9.421875" style="209" customWidth="1"/>
    <col min="2567" max="2567" width="11.28125" style="209" customWidth="1"/>
    <col min="2568" max="2816" width="10.00390625" style="209" customWidth="1"/>
    <col min="2817" max="2818" width="3.7109375" style="209" customWidth="1"/>
    <col min="2819" max="2819" width="58.421875" style="209" customWidth="1"/>
    <col min="2820" max="2820" width="3.7109375" style="209" customWidth="1"/>
    <col min="2821" max="2821" width="6.7109375" style="209" customWidth="1"/>
    <col min="2822" max="2822" width="9.421875" style="209" customWidth="1"/>
    <col min="2823" max="2823" width="11.28125" style="209" customWidth="1"/>
    <col min="2824" max="3072" width="10.00390625" style="209" customWidth="1"/>
    <col min="3073" max="3074" width="3.7109375" style="209" customWidth="1"/>
    <col min="3075" max="3075" width="58.421875" style="209" customWidth="1"/>
    <col min="3076" max="3076" width="3.7109375" style="209" customWidth="1"/>
    <col min="3077" max="3077" width="6.7109375" style="209" customWidth="1"/>
    <col min="3078" max="3078" width="9.421875" style="209" customWidth="1"/>
    <col min="3079" max="3079" width="11.28125" style="209" customWidth="1"/>
    <col min="3080" max="3328" width="10.00390625" style="209" customWidth="1"/>
    <col min="3329" max="3330" width="3.7109375" style="209" customWidth="1"/>
    <col min="3331" max="3331" width="58.421875" style="209" customWidth="1"/>
    <col min="3332" max="3332" width="3.7109375" style="209" customWidth="1"/>
    <col min="3333" max="3333" width="6.7109375" style="209" customWidth="1"/>
    <col min="3334" max="3334" width="9.421875" style="209" customWidth="1"/>
    <col min="3335" max="3335" width="11.28125" style="209" customWidth="1"/>
    <col min="3336" max="3584" width="10.00390625" style="209" customWidth="1"/>
    <col min="3585" max="3586" width="3.7109375" style="209" customWidth="1"/>
    <col min="3587" max="3587" width="58.421875" style="209" customWidth="1"/>
    <col min="3588" max="3588" width="3.7109375" style="209" customWidth="1"/>
    <col min="3589" max="3589" width="6.7109375" style="209" customWidth="1"/>
    <col min="3590" max="3590" width="9.421875" style="209" customWidth="1"/>
    <col min="3591" max="3591" width="11.28125" style="209" customWidth="1"/>
    <col min="3592" max="3840" width="10.00390625" style="209" customWidth="1"/>
    <col min="3841" max="3842" width="3.7109375" style="209" customWidth="1"/>
    <col min="3843" max="3843" width="58.421875" style="209" customWidth="1"/>
    <col min="3844" max="3844" width="3.7109375" style="209" customWidth="1"/>
    <col min="3845" max="3845" width="6.7109375" style="209" customWidth="1"/>
    <col min="3846" max="3846" width="9.421875" style="209" customWidth="1"/>
    <col min="3847" max="3847" width="11.28125" style="209" customWidth="1"/>
    <col min="3848" max="4096" width="10.00390625" style="209" customWidth="1"/>
    <col min="4097" max="4098" width="3.7109375" style="209" customWidth="1"/>
    <col min="4099" max="4099" width="58.421875" style="209" customWidth="1"/>
    <col min="4100" max="4100" width="3.7109375" style="209" customWidth="1"/>
    <col min="4101" max="4101" width="6.7109375" style="209" customWidth="1"/>
    <col min="4102" max="4102" width="9.421875" style="209" customWidth="1"/>
    <col min="4103" max="4103" width="11.28125" style="209" customWidth="1"/>
    <col min="4104" max="4352" width="10.00390625" style="209" customWidth="1"/>
    <col min="4353" max="4354" width="3.7109375" style="209" customWidth="1"/>
    <col min="4355" max="4355" width="58.421875" style="209" customWidth="1"/>
    <col min="4356" max="4356" width="3.7109375" style="209" customWidth="1"/>
    <col min="4357" max="4357" width="6.7109375" style="209" customWidth="1"/>
    <col min="4358" max="4358" width="9.421875" style="209" customWidth="1"/>
    <col min="4359" max="4359" width="11.28125" style="209" customWidth="1"/>
    <col min="4360" max="4608" width="10.00390625" style="209" customWidth="1"/>
    <col min="4609" max="4610" width="3.7109375" style="209" customWidth="1"/>
    <col min="4611" max="4611" width="58.421875" style="209" customWidth="1"/>
    <col min="4612" max="4612" width="3.7109375" style="209" customWidth="1"/>
    <col min="4613" max="4613" width="6.7109375" style="209" customWidth="1"/>
    <col min="4614" max="4614" width="9.421875" style="209" customWidth="1"/>
    <col min="4615" max="4615" width="11.28125" style="209" customWidth="1"/>
    <col min="4616" max="4864" width="10.00390625" style="209" customWidth="1"/>
    <col min="4865" max="4866" width="3.7109375" style="209" customWidth="1"/>
    <col min="4867" max="4867" width="58.421875" style="209" customWidth="1"/>
    <col min="4868" max="4868" width="3.7109375" style="209" customWidth="1"/>
    <col min="4869" max="4869" width="6.7109375" style="209" customWidth="1"/>
    <col min="4870" max="4870" width="9.421875" style="209" customWidth="1"/>
    <col min="4871" max="4871" width="11.28125" style="209" customWidth="1"/>
    <col min="4872" max="5120" width="10.00390625" style="209" customWidth="1"/>
    <col min="5121" max="5122" width="3.7109375" style="209" customWidth="1"/>
    <col min="5123" max="5123" width="58.421875" style="209" customWidth="1"/>
    <col min="5124" max="5124" width="3.7109375" style="209" customWidth="1"/>
    <col min="5125" max="5125" width="6.7109375" style="209" customWidth="1"/>
    <col min="5126" max="5126" width="9.421875" style="209" customWidth="1"/>
    <col min="5127" max="5127" width="11.28125" style="209" customWidth="1"/>
    <col min="5128" max="5376" width="10.00390625" style="209" customWidth="1"/>
    <col min="5377" max="5378" width="3.7109375" style="209" customWidth="1"/>
    <col min="5379" max="5379" width="58.421875" style="209" customWidth="1"/>
    <col min="5380" max="5380" width="3.7109375" style="209" customWidth="1"/>
    <col min="5381" max="5381" width="6.7109375" style="209" customWidth="1"/>
    <col min="5382" max="5382" width="9.421875" style="209" customWidth="1"/>
    <col min="5383" max="5383" width="11.28125" style="209" customWidth="1"/>
    <col min="5384" max="5632" width="10.00390625" style="209" customWidth="1"/>
    <col min="5633" max="5634" width="3.7109375" style="209" customWidth="1"/>
    <col min="5635" max="5635" width="58.421875" style="209" customWidth="1"/>
    <col min="5636" max="5636" width="3.7109375" style="209" customWidth="1"/>
    <col min="5637" max="5637" width="6.7109375" style="209" customWidth="1"/>
    <col min="5638" max="5638" width="9.421875" style="209" customWidth="1"/>
    <col min="5639" max="5639" width="11.28125" style="209" customWidth="1"/>
    <col min="5640" max="5888" width="10.00390625" style="209" customWidth="1"/>
    <col min="5889" max="5890" width="3.7109375" style="209" customWidth="1"/>
    <col min="5891" max="5891" width="58.421875" style="209" customWidth="1"/>
    <col min="5892" max="5892" width="3.7109375" style="209" customWidth="1"/>
    <col min="5893" max="5893" width="6.7109375" style="209" customWidth="1"/>
    <col min="5894" max="5894" width="9.421875" style="209" customWidth="1"/>
    <col min="5895" max="5895" width="11.28125" style="209" customWidth="1"/>
    <col min="5896" max="6144" width="10.00390625" style="209" customWidth="1"/>
    <col min="6145" max="6146" width="3.7109375" style="209" customWidth="1"/>
    <col min="6147" max="6147" width="58.421875" style="209" customWidth="1"/>
    <col min="6148" max="6148" width="3.7109375" style="209" customWidth="1"/>
    <col min="6149" max="6149" width="6.7109375" style="209" customWidth="1"/>
    <col min="6150" max="6150" width="9.421875" style="209" customWidth="1"/>
    <col min="6151" max="6151" width="11.28125" style="209" customWidth="1"/>
    <col min="6152" max="6400" width="10.00390625" style="209" customWidth="1"/>
    <col min="6401" max="6402" width="3.7109375" style="209" customWidth="1"/>
    <col min="6403" max="6403" width="58.421875" style="209" customWidth="1"/>
    <col min="6404" max="6404" width="3.7109375" style="209" customWidth="1"/>
    <col min="6405" max="6405" width="6.7109375" style="209" customWidth="1"/>
    <col min="6406" max="6406" width="9.421875" style="209" customWidth="1"/>
    <col min="6407" max="6407" width="11.28125" style="209" customWidth="1"/>
    <col min="6408" max="6656" width="10.00390625" style="209" customWidth="1"/>
    <col min="6657" max="6658" width="3.7109375" style="209" customWidth="1"/>
    <col min="6659" max="6659" width="58.421875" style="209" customWidth="1"/>
    <col min="6660" max="6660" width="3.7109375" style="209" customWidth="1"/>
    <col min="6661" max="6661" width="6.7109375" style="209" customWidth="1"/>
    <col min="6662" max="6662" width="9.421875" style="209" customWidth="1"/>
    <col min="6663" max="6663" width="11.28125" style="209" customWidth="1"/>
    <col min="6664" max="6912" width="10.00390625" style="209" customWidth="1"/>
    <col min="6913" max="6914" width="3.7109375" style="209" customWidth="1"/>
    <col min="6915" max="6915" width="58.421875" style="209" customWidth="1"/>
    <col min="6916" max="6916" width="3.7109375" style="209" customWidth="1"/>
    <col min="6917" max="6917" width="6.7109375" style="209" customWidth="1"/>
    <col min="6918" max="6918" width="9.421875" style="209" customWidth="1"/>
    <col min="6919" max="6919" width="11.28125" style="209" customWidth="1"/>
    <col min="6920" max="7168" width="10.00390625" style="209" customWidth="1"/>
    <col min="7169" max="7170" width="3.7109375" style="209" customWidth="1"/>
    <col min="7171" max="7171" width="58.421875" style="209" customWidth="1"/>
    <col min="7172" max="7172" width="3.7109375" style="209" customWidth="1"/>
    <col min="7173" max="7173" width="6.7109375" style="209" customWidth="1"/>
    <col min="7174" max="7174" width="9.421875" style="209" customWidth="1"/>
    <col min="7175" max="7175" width="11.28125" style="209" customWidth="1"/>
    <col min="7176" max="7424" width="10.00390625" style="209" customWidth="1"/>
    <col min="7425" max="7426" width="3.7109375" style="209" customWidth="1"/>
    <col min="7427" max="7427" width="58.421875" style="209" customWidth="1"/>
    <col min="7428" max="7428" width="3.7109375" style="209" customWidth="1"/>
    <col min="7429" max="7429" width="6.7109375" style="209" customWidth="1"/>
    <col min="7430" max="7430" width="9.421875" style="209" customWidth="1"/>
    <col min="7431" max="7431" width="11.28125" style="209" customWidth="1"/>
    <col min="7432" max="7680" width="10.00390625" style="209" customWidth="1"/>
    <col min="7681" max="7682" width="3.7109375" style="209" customWidth="1"/>
    <col min="7683" max="7683" width="58.421875" style="209" customWidth="1"/>
    <col min="7684" max="7684" width="3.7109375" style="209" customWidth="1"/>
    <col min="7685" max="7685" width="6.7109375" style="209" customWidth="1"/>
    <col min="7686" max="7686" width="9.421875" style="209" customWidth="1"/>
    <col min="7687" max="7687" width="11.28125" style="209" customWidth="1"/>
    <col min="7688" max="7936" width="10.00390625" style="209" customWidth="1"/>
    <col min="7937" max="7938" width="3.7109375" style="209" customWidth="1"/>
    <col min="7939" max="7939" width="58.421875" style="209" customWidth="1"/>
    <col min="7940" max="7940" width="3.7109375" style="209" customWidth="1"/>
    <col min="7941" max="7941" width="6.7109375" style="209" customWidth="1"/>
    <col min="7942" max="7942" width="9.421875" style="209" customWidth="1"/>
    <col min="7943" max="7943" width="11.28125" style="209" customWidth="1"/>
    <col min="7944" max="8192" width="10.00390625" style="209" customWidth="1"/>
    <col min="8193" max="8194" width="3.7109375" style="209" customWidth="1"/>
    <col min="8195" max="8195" width="58.421875" style="209" customWidth="1"/>
    <col min="8196" max="8196" width="3.7109375" style="209" customWidth="1"/>
    <col min="8197" max="8197" width="6.7109375" style="209" customWidth="1"/>
    <col min="8198" max="8198" width="9.421875" style="209" customWidth="1"/>
    <col min="8199" max="8199" width="11.28125" style="209" customWidth="1"/>
    <col min="8200" max="8448" width="10.00390625" style="209" customWidth="1"/>
    <col min="8449" max="8450" width="3.7109375" style="209" customWidth="1"/>
    <col min="8451" max="8451" width="58.421875" style="209" customWidth="1"/>
    <col min="8452" max="8452" width="3.7109375" style="209" customWidth="1"/>
    <col min="8453" max="8453" width="6.7109375" style="209" customWidth="1"/>
    <col min="8454" max="8454" width="9.421875" style="209" customWidth="1"/>
    <col min="8455" max="8455" width="11.28125" style="209" customWidth="1"/>
    <col min="8456" max="8704" width="10.00390625" style="209" customWidth="1"/>
    <col min="8705" max="8706" width="3.7109375" style="209" customWidth="1"/>
    <col min="8707" max="8707" width="58.421875" style="209" customWidth="1"/>
    <col min="8708" max="8708" width="3.7109375" style="209" customWidth="1"/>
    <col min="8709" max="8709" width="6.7109375" style="209" customWidth="1"/>
    <col min="8710" max="8710" width="9.421875" style="209" customWidth="1"/>
    <col min="8711" max="8711" width="11.28125" style="209" customWidth="1"/>
    <col min="8712" max="8960" width="10.00390625" style="209" customWidth="1"/>
    <col min="8961" max="8962" width="3.7109375" style="209" customWidth="1"/>
    <col min="8963" max="8963" width="58.421875" style="209" customWidth="1"/>
    <col min="8964" max="8964" width="3.7109375" style="209" customWidth="1"/>
    <col min="8965" max="8965" width="6.7109375" style="209" customWidth="1"/>
    <col min="8966" max="8966" width="9.421875" style="209" customWidth="1"/>
    <col min="8967" max="8967" width="11.28125" style="209" customWidth="1"/>
    <col min="8968" max="9216" width="10.00390625" style="209" customWidth="1"/>
    <col min="9217" max="9218" width="3.7109375" style="209" customWidth="1"/>
    <col min="9219" max="9219" width="58.421875" style="209" customWidth="1"/>
    <col min="9220" max="9220" width="3.7109375" style="209" customWidth="1"/>
    <col min="9221" max="9221" width="6.7109375" style="209" customWidth="1"/>
    <col min="9222" max="9222" width="9.421875" style="209" customWidth="1"/>
    <col min="9223" max="9223" width="11.28125" style="209" customWidth="1"/>
    <col min="9224" max="9472" width="10.00390625" style="209" customWidth="1"/>
    <col min="9473" max="9474" width="3.7109375" style="209" customWidth="1"/>
    <col min="9475" max="9475" width="58.421875" style="209" customWidth="1"/>
    <col min="9476" max="9476" width="3.7109375" style="209" customWidth="1"/>
    <col min="9477" max="9477" width="6.7109375" style="209" customWidth="1"/>
    <col min="9478" max="9478" width="9.421875" style="209" customWidth="1"/>
    <col min="9479" max="9479" width="11.28125" style="209" customWidth="1"/>
    <col min="9480" max="9728" width="10.00390625" style="209" customWidth="1"/>
    <col min="9729" max="9730" width="3.7109375" style="209" customWidth="1"/>
    <col min="9731" max="9731" width="58.421875" style="209" customWidth="1"/>
    <col min="9732" max="9732" width="3.7109375" style="209" customWidth="1"/>
    <col min="9733" max="9733" width="6.7109375" style="209" customWidth="1"/>
    <col min="9734" max="9734" width="9.421875" style="209" customWidth="1"/>
    <col min="9735" max="9735" width="11.28125" style="209" customWidth="1"/>
    <col min="9736" max="9984" width="10.00390625" style="209" customWidth="1"/>
    <col min="9985" max="9986" width="3.7109375" style="209" customWidth="1"/>
    <col min="9987" max="9987" width="58.421875" style="209" customWidth="1"/>
    <col min="9988" max="9988" width="3.7109375" style="209" customWidth="1"/>
    <col min="9989" max="9989" width="6.7109375" style="209" customWidth="1"/>
    <col min="9990" max="9990" width="9.421875" style="209" customWidth="1"/>
    <col min="9991" max="9991" width="11.28125" style="209" customWidth="1"/>
    <col min="9992" max="10240" width="10.00390625" style="209" customWidth="1"/>
    <col min="10241" max="10242" width="3.7109375" style="209" customWidth="1"/>
    <col min="10243" max="10243" width="58.421875" style="209" customWidth="1"/>
    <col min="10244" max="10244" width="3.7109375" style="209" customWidth="1"/>
    <col min="10245" max="10245" width="6.7109375" style="209" customWidth="1"/>
    <col min="10246" max="10246" width="9.421875" style="209" customWidth="1"/>
    <col min="10247" max="10247" width="11.28125" style="209" customWidth="1"/>
    <col min="10248" max="10496" width="10.00390625" style="209" customWidth="1"/>
    <col min="10497" max="10498" width="3.7109375" style="209" customWidth="1"/>
    <col min="10499" max="10499" width="58.421875" style="209" customWidth="1"/>
    <col min="10500" max="10500" width="3.7109375" style="209" customWidth="1"/>
    <col min="10501" max="10501" width="6.7109375" style="209" customWidth="1"/>
    <col min="10502" max="10502" width="9.421875" style="209" customWidth="1"/>
    <col min="10503" max="10503" width="11.28125" style="209" customWidth="1"/>
    <col min="10504" max="10752" width="10.00390625" style="209" customWidth="1"/>
    <col min="10753" max="10754" width="3.7109375" style="209" customWidth="1"/>
    <col min="10755" max="10755" width="58.421875" style="209" customWidth="1"/>
    <col min="10756" max="10756" width="3.7109375" style="209" customWidth="1"/>
    <col min="10757" max="10757" width="6.7109375" style="209" customWidth="1"/>
    <col min="10758" max="10758" width="9.421875" style="209" customWidth="1"/>
    <col min="10759" max="10759" width="11.28125" style="209" customWidth="1"/>
    <col min="10760" max="11008" width="10.00390625" style="209" customWidth="1"/>
    <col min="11009" max="11010" width="3.7109375" style="209" customWidth="1"/>
    <col min="11011" max="11011" width="58.421875" style="209" customWidth="1"/>
    <col min="11012" max="11012" width="3.7109375" style="209" customWidth="1"/>
    <col min="11013" max="11013" width="6.7109375" style="209" customWidth="1"/>
    <col min="11014" max="11014" width="9.421875" style="209" customWidth="1"/>
    <col min="11015" max="11015" width="11.28125" style="209" customWidth="1"/>
    <col min="11016" max="11264" width="10.00390625" style="209" customWidth="1"/>
    <col min="11265" max="11266" width="3.7109375" style="209" customWidth="1"/>
    <col min="11267" max="11267" width="58.421875" style="209" customWidth="1"/>
    <col min="11268" max="11268" width="3.7109375" style="209" customWidth="1"/>
    <col min="11269" max="11269" width="6.7109375" style="209" customWidth="1"/>
    <col min="11270" max="11270" width="9.421875" style="209" customWidth="1"/>
    <col min="11271" max="11271" width="11.28125" style="209" customWidth="1"/>
    <col min="11272" max="11520" width="10.00390625" style="209" customWidth="1"/>
    <col min="11521" max="11522" width="3.7109375" style="209" customWidth="1"/>
    <col min="11523" max="11523" width="58.421875" style="209" customWidth="1"/>
    <col min="11524" max="11524" width="3.7109375" style="209" customWidth="1"/>
    <col min="11525" max="11525" width="6.7109375" style="209" customWidth="1"/>
    <col min="11526" max="11526" width="9.421875" style="209" customWidth="1"/>
    <col min="11527" max="11527" width="11.28125" style="209" customWidth="1"/>
    <col min="11528" max="11776" width="10.00390625" style="209" customWidth="1"/>
    <col min="11777" max="11778" width="3.7109375" style="209" customWidth="1"/>
    <col min="11779" max="11779" width="58.421875" style="209" customWidth="1"/>
    <col min="11780" max="11780" width="3.7109375" style="209" customWidth="1"/>
    <col min="11781" max="11781" width="6.7109375" style="209" customWidth="1"/>
    <col min="11782" max="11782" width="9.421875" style="209" customWidth="1"/>
    <col min="11783" max="11783" width="11.28125" style="209" customWidth="1"/>
    <col min="11784" max="12032" width="10.00390625" style="209" customWidth="1"/>
    <col min="12033" max="12034" width="3.7109375" style="209" customWidth="1"/>
    <col min="12035" max="12035" width="58.421875" style="209" customWidth="1"/>
    <col min="12036" max="12036" width="3.7109375" style="209" customWidth="1"/>
    <col min="12037" max="12037" width="6.7109375" style="209" customWidth="1"/>
    <col min="12038" max="12038" width="9.421875" style="209" customWidth="1"/>
    <col min="12039" max="12039" width="11.28125" style="209" customWidth="1"/>
    <col min="12040" max="12288" width="10.00390625" style="209" customWidth="1"/>
    <col min="12289" max="12290" width="3.7109375" style="209" customWidth="1"/>
    <col min="12291" max="12291" width="58.421875" style="209" customWidth="1"/>
    <col min="12292" max="12292" width="3.7109375" style="209" customWidth="1"/>
    <col min="12293" max="12293" width="6.7109375" style="209" customWidth="1"/>
    <col min="12294" max="12294" width="9.421875" style="209" customWidth="1"/>
    <col min="12295" max="12295" width="11.28125" style="209" customWidth="1"/>
    <col min="12296" max="12544" width="10.00390625" style="209" customWidth="1"/>
    <col min="12545" max="12546" width="3.7109375" style="209" customWidth="1"/>
    <col min="12547" max="12547" width="58.421875" style="209" customWidth="1"/>
    <col min="12548" max="12548" width="3.7109375" style="209" customWidth="1"/>
    <col min="12549" max="12549" width="6.7109375" style="209" customWidth="1"/>
    <col min="12550" max="12550" width="9.421875" style="209" customWidth="1"/>
    <col min="12551" max="12551" width="11.28125" style="209" customWidth="1"/>
    <col min="12552" max="12800" width="10.00390625" style="209" customWidth="1"/>
    <col min="12801" max="12802" width="3.7109375" style="209" customWidth="1"/>
    <col min="12803" max="12803" width="58.421875" style="209" customWidth="1"/>
    <col min="12804" max="12804" width="3.7109375" style="209" customWidth="1"/>
    <col min="12805" max="12805" width="6.7109375" style="209" customWidth="1"/>
    <col min="12806" max="12806" width="9.421875" style="209" customWidth="1"/>
    <col min="12807" max="12807" width="11.28125" style="209" customWidth="1"/>
    <col min="12808" max="13056" width="10.00390625" style="209" customWidth="1"/>
    <col min="13057" max="13058" width="3.7109375" style="209" customWidth="1"/>
    <col min="13059" max="13059" width="58.421875" style="209" customWidth="1"/>
    <col min="13060" max="13060" width="3.7109375" style="209" customWidth="1"/>
    <col min="13061" max="13061" width="6.7109375" style="209" customWidth="1"/>
    <col min="13062" max="13062" width="9.421875" style="209" customWidth="1"/>
    <col min="13063" max="13063" width="11.28125" style="209" customWidth="1"/>
    <col min="13064" max="13312" width="10.00390625" style="209" customWidth="1"/>
    <col min="13313" max="13314" width="3.7109375" style="209" customWidth="1"/>
    <col min="13315" max="13315" width="58.421875" style="209" customWidth="1"/>
    <col min="13316" max="13316" width="3.7109375" style="209" customWidth="1"/>
    <col min="13317" max="13317" width="6.7109375" style="209" customWidth="1"/>
    <col min="13318" max="13318" width="9.421875" style="209" customWidth="1"/>
    <col min="13319" max="13319" width="11.28125" style="209" customWidth="1"/>
    <col min="13320" max="13568" width="10.00390625" style="209" customWidth="1"/>
    <col min="13569" max="13570" width="3.7109375" style="209" customWidth="1"/>
    <col min="13571" max="13571" width="58.421875" style="209" customWidth="1"/>
    <col min="13572" max="13572" width="3.7109375" style="209" customWidth="1"/>
    <col min="13573" max="13573" width="6.7109375" style="209" customWidth="1"/>
    <col min="13574" max="13574" width="9.421875" style="209" customWidth="1"/>
    <col min="13575" max="13575" width="11.28125" style="209" customWidth="1"/>
    <col min="13576" max="13824" width="10.00390625" style="209" customWidth="1"/>
    <col min="13825" max="13826" width="3.7109375" style="209" customWidth="1"/>
    <col min="13827" max="13827" width="58.421875" style="209" customWidth="1"/>
    <col min="13828" max="13828" width="3.7109375" style="209" customWidth="1"/>
    <col min="13829" max="13829" width="6.7109375" style="209" customWidth="1"/>
    <col min="13830" max="13830" width="9.421875" style="209" customWidth="1"/>
    <col min="13831" max="13831" width="11.28125" style="209" customWidth="1"/>
    <col min="13832" max="14080" width="10.00390625" style="209" customWidth="1"/>
    <col min="14081" max="14082" width="3.7109375" style="209" customWidth="1"/>
    <col min="14083" max="14083" width="58.421875" style="209" customWidth="1"/>
    <col min="14084" max="14084" width="3.7109375" style="209" customWidth="1"/>
    <col min="14085" max="14085" width="6.7109375" style="209" customWidth="1"/>
    <col min="14086" max="14086" width="9.421875" style="209" customWidth="1"/>
    <col min="14087" max="14087" width="11.28125" style="209" customWidth="1"/>
    <col min="14088" max="14336" width="10.00390625" style="209" customWidth="1"/>
    <col min="14337" max="14338" width="3.7109375" style="209" customWidth="1"/>
    <col min="14339" max="14339" width="58.421875" style="209" customWidth="1"/>
    <col min="14340" max="14340" width="3.7109375" style="209" customWidth="1"/>
    <col min="14341" max="14341" width="6.7109375" style="209" customWidth="1"/>
    <col min="14342" max="14342" width="9.421875" style="209" customWidth="1"/>
    <col min="14343" max="14343" width="11.28125" style="209" customWidth="1"/>
    <col min="14344" max="14592" width="10.00390625" style="209" customWidth="1"/>
    <col min="14593" max="14594" width="3.7109375" style="209" customWidth="1"/>
    <col min="14595" max="14595" width="58.421875" style="209" customWidth="1"/>
    <col min="14596" max="14596" width="3.7109375" style="209" customWidth="1"/>
    <col min="14597" max="14597" width="6.7109375" style="209" customWidth="1"/>
    <col min="14598" max="14598" width="9.421875" style="209" customWidth="1"/>
    <col min="14599" max="14599" width="11.28125" style="209" customWidth="1"/>
    <col min="14600" max="14848" width="10.00390625" style="209" customWidth="1"/>
    <col min="14849" max="14850" width="3.7109375" style="209" customWidth="1"/>
    <col min="14851" max="14851" width="58.421875" style="209" customWidth="1"/>
    <col min="14852" max="14852" width="3.7109375" style="209" customWidth="1"/>
    <col min="14853" max="14853" width="6.7109375" style="209" customWidth="1"/>
    <col min="14854" max="14854" width="9.421875" style="209" customWidth="1"/>
    <col min="14855" max="14855" width="11.28125" style="209" customWidth="1"/>
    <col min="14856" max="15104" width="10.00390625" style="209" customWidth="1"/>
    <col min="15105" max="15106" width="3.7109375" style="209" customWidth="1"/>
    <col min="15107" max="15107" width="58.421875" style="209" customWidth="1"/>
    <col min="15108" max="15108" width="3.7109375" style="209" customWidth="1"/>
    <col min="15109" max="15109" width="6.7109375" style="209" customWidth="1"/>
    <col min="15110" max="15110" width="9.421875" style="209" customWidth="1"/>
    <col min="15111" max="15111" width="11.28125" style="209" customWidth="1"/>
    <col min="15112" max="15360" width="10.00390625" style="209" customWidth="1"/>
    <col min="15361" max="15362" width="3.7109375" style="209" customWidth="1"/>
    <col min="15363" max="15363" width="58.421875" style="209" customWidth="1"/>
    <col min="15364" max="15364" width="3.7109375" style="209" customWidth="1"/>
    <col min="15365" max="15365" width="6.7109375" style="209" customWidth="1"/>
    <col min="15366" max="15366" width="9.421875" style="209" customWidth="1"/>
    <col min="15367" max="15367" width="11.28125" style="209" customWidth="1"/>
    <col min="15368" max="15616" width="10.00390625" style="209" customWidth="1"/>
    <col min="15617" max="15618" width="3.7109375" style="209" customWidth="1"/>
    <col min="15619" max="15619" width="58.421875" style="209" customWidth="1"/>
    <col min="15620" max="15620" width="3.7109375" style="209" customWidth="1"/>
    <col min="15621" max="15621" width="6.7109375" style="209" customWidth="1"/>
    <col min="15622" max="15622" width="9.421875" style="209" customWidth="1"/>
    <col min="15623" max="15623" width="11.28125" style="209" customWidth="1"/>
    <col min="15624" max="15872" width="10.00390625" style="209" customWidth="1"/>
    <col min="15873" max="15874" width="3.7109375" style="209" customWidth="1"/>
    <col min="15875" max="15875" width="58.421875" style="209" customWidth="1"/>
    <col min="15876" max="15876" width="3.7109375" style="209" customWidth="1"/>
    <col min="15877" max="15877" width="6.7109375" style="209" customWidth="1"/>
    <col min="15878" max="15878" width="9.421875" style="209" customWidth="1"/>
    <col min="15879" max="15879" width="11.28125" style="209" customWidth="1"/>
    <col min="15880" max="16128" width="10.00390625" style="209" customWidth="1"/>
    <col min="16129" max="16130" width="3.7109375" style="209" customWidth="1"/>
    <col min="16131" max="16131" width="58.421875" style="209" customWidth="1"/>
    <col min="16132" max="16132" width="3.7109375" style="209" customWidth="1"/>
    <col min="16133" max="16133" width="6.7109375" style="209" customWidth="1"/>
    <col min="16134" max="16134" width="9.421875" style="209" customWidth="1"/>
    <col min="16135" max="16135" width="11.28125" style="209" customWidth="1"/>
    <col min="16136" max="16384" width="10.00390625" style="209" customWidth="1"/>
  </cols>
  <sheetData>
    <row r="1" spans="1:9" ht="31.2">
      <c r="A1" s="308"/>
      <c r="B1" s="309"/>
      <c r="C1" s="309" t="s">
        <v>1013</v>
      </c>
      <c r="D1" s="309"/>
      <c r="E1" s="310"/>
      <c r="F1" s="311"/>
      <c r="G1" s="312"/>
      <c r="H1" s="239"/>
      <c r="I1" s="237"/>
    </row>
    <row r="2" spans="1:9" ht="15">
      <c r="A2" s="313"/>
      <c r="B2" s="313"/>
      <c r="C2" s="313"/>
      <c r="D2" s="313"/>
      <c r="E2" s="313"/>
      <c r="F2" s="314"/>
      <c r="G2" s="314"/>
      <c r="H2" s="239"/>
      <c r="I2" s="237"/>
    </row>
    <row r="3" spans="1:10" ht="15">
      <c r="A3" s="315" t="s">
        <v>884</v>
      </c>
      <c r="B3" s="315" t="s">
        <v>885</v>
      </c>
      <c r="C3" s="315" t="s">
        <v>3</v>
      </c>
      <c r="D3" s="316" t="s">
        <v>4</v>
      </c>
      <c r="E3" s="316" t="s">
        <v>886</v>
      </c>
      <c r="F3" s="317" t="s">
        <v>887</v>
      </c>
      <c r="G3" s="317" t="s">
        <v>7</v>
      </c>
      <c r="H3" s="239"/>
      <c r="I3" s="237"/>
      <c r="J3" s="237"/>
    </row>
    <row r="4" spans="1:10" ht="15">
      <c r="A4" s="318"/>
      <c r="B4" s="319"/>
      <c r="C4" s="319" t="s">
        <v>1014</v>
      </c>
      <c r="D4" s="319"/>
      <c r="E4" s="319"/>
      <c r="F4" s="320"/>
      <c r="G4" s="321"/>
      <c r="H4" s="239"/>
      <c r="I4" s="237"/>
      <c r="J4" s="237"/>
    </row>
    <row r="5" spans="1:10" ht="15">
      <c r="A5" s="313"/>
      <c r="B5" s="313"/>
      <c r="C5" s="313"/>
      <c r="D5" s="313"/>
      <c r="E5" s="313"/>
      <c r="F5" s="314"/>
      <c r="G5" s="314"/>
      <c r="H5" s="241"/>
      <c r="I5" s="237"/>
      <c r="J5" s="237"/>
    </row>
    <row r="6" spans="1:10" ht="20.4">
      <c r="A6" s="322" t="s">
        <v>889</v>
      </c>
      <c r="B6" s="323" t="s">
        <v>1015</v>
      </c>
      <c r="C6" s="322" t="s">
        <v>1016</v>
      </c>
      <c r="D6" s="324" t="s">
        <v>544</v>
      </c>
      <c r="E6" s="322">
        <v>1</v>
      </c>
      <c r="F6" s="221"/>
      <c r="G6" s="325">
        <f>E6*F6</f>
        <v>0</v>
      </c>
      <c r="H6" s="241"/>
      <c r="I6" s="237"/>
      <c r="J6" s="237"/>
    </row>
    <row r="7" spans="1:10" ht="20.4">
      <c r="A7" s="322" t="s">
        <v>891</v>
      </c>
      <c r="B7" s="323" t="s">
        <v>1015</v>
      </c>
      <c r="C7" s="322" t="s">
        <v>1017</v>
      </c>
      <c r="D7" s="324" t="s">
        <v>544</v>
      </c>
      <c r="E7" s="322">
        <v>1</v>
      </c>
      <c r="F7" s="221"/>
      <c r="G7" s="325">
        <f>E7*F7</f>
        <v>0</v>
      </c>
      <c r="H7" s="241"/>
      <c r="I7" s="237"/>
      <c r="J7" s="237"/>
    </row>
    <row r="8" spans="1:10" ht="15">
      <c r="A8" s="313"/>
      <c r="B8" s="326"/>
      <c r="C8" s="327"/>
      <c r="D8" s="327"/>
      <c r="E8" s="327"/>
      <c r="G8" s="328"/>
      <c r="H8" s="231"/>
      <c r="I8" s="237"/>
      <c r="J8" s="237"/>
    </row>
    <row r="9" spans="1:10" ht="15">
      <c r="A9" s="313"/>
      <c r="B9" s="326"/>
      <c r="C9" s="327"/>
      <c r="D9" s="327"/>
      <c r="E9" s="327"/>
      <c r="G9" s="329">
        <f>SUM(G6:G8)</f>
        <v>0</v>
      </c>
      <c r="H9" s="241"/>
      <c r="I9" s="237"/>
      <c r="J9" s="237"/>
    </row>
    <row r="10" spans="1:10" ht="15">
      <c r="A10" s="313"/>
      <c r="B10" s="326"/>
      <c r="C10" s="330"/>
      <c r="D10" s="331"/>
      <c r="E10" s="313"/>
      <c r="F10" s="218"/>
      <c r="G10" s="328"/>
      <c r="H10" s="230"/>
      <c r="I10" s="237"/>
      <c r="J10" s="237"/>
    </row>
    <row r="11" spans="1:10" ht="15">
      <c r="A11" s="332"/>
      <c r="B11" s="333"/>
      <c r="C11" s="319" t="s">
        <v>1018</v>
      </c>
      <c r="D11" s="333"/>
      <c r="E11" s="333"/>
      <c r="F11" s="229"/>
      <c r="G11" s="334"/>
      <c r="H11" s="230"/>
      <c r="I11" s="237"/>
      <c r="J11" s="237"/>
    </row>
    <row r="12" spans="1:10" ht="15">
      <c r="A12" s="313"/>
      <c r="B12" s="313"/>
      <c r="C12" s="313"/>
      <c r="D12" s="313"/>
      <c r="E12" s="313"/>
      <c r="F12" s="218"/>
      <c r="G12" s="314"/>
      <c r="H12" s="230"/>
      <c r="I12" s="237"/>
      <c r="J12" s="237"/>
    </row>
    <row r="13" spans="1:10" ht="15">
      <c r="A13" s="313" t="s">
        <v>889</v>
      </c>
      <c r="B13" s="326" t="s">
        <v>1015</v>
      </c>
      <c r="C13" s="330" t="s">
        <v>1019</v>
      </c>
      <c r="D13" s="331" t="s">
        <v>544</v>
      </c>
      <c r="E13" s="313">
        <v>17</v>
      </c>
      <c r="F13" s="218"/>
      <c r="G13" s="314">
        <f aca="true" t="shared" si="0" ref="G13:G46">E13*F13</f>
        <v>0</v>
      </c>
      <c r="H13" s="230"/>
      <c r="I13" s="237"/>
      <c r="J13" s="237"/>
    </row>
    <row r="14" spans="1:10" ht="15">
      <c r="A14" s="313" t="s">
        <v>891</v>
      </c>
      <c r="B14" s="326" t="s">
        <v>1015</v>
      </c>
      <c r="C14" s="313" t="s">
        <v>1020</v>
      </c>
      <c r="D14" s="331" t="s">
        <v>544</v>
      </c>
      <c r="E14" s="313">
        <v>8</v>
      </c>
      <c r="F14" s="219"/>
      <c r="G14" s="314">
        <f t="shared" si="0"/>
        <v>0</v>
      </c>
      <c r="H14" s="218"/>
      <c r="J14" s="237"/>
    </row>
    <row r="15" spans="1:10" ht="15">
      <c r="A15" s="313" t="s">
        <v>896</v>
      </c>
      <c r="B15" s="326" t="s">
        <v>1015</v>
      </c>
      <c r="C15" s="313" t="s">
        <v>1021</v>
      </c>
      <c r="D15" s="331" t="s">
        <v>544</v>
      </c>
      <c r="E15" s="330">
        <v>20</v>
      </c>
      <c r="F15" s="225"/>
      <c r="G15" s="314">
        <f t="shared" si="0"/>
        <v>0</v>
      </c>
      <c r="H15" s="218"/>
      <c r="J15" s="237"/>
    </row>
    <row r="16" spans="1:10" ht="15">
      <c r="A16" s="313" t="s">
        <v>898</v>
      </c>
      <c r="B16" s="326" t="s">
        <v>1015</v>
      </c>
      <c r="C16" s="337" t="s">
        <v>1022</v>
      </c>
      <c r="D16" s="331" t="s">
        <v>544</v>
      </c>
      <c r="E16" s="337">
        <v>8</v>
      </c>
      <c r="F16" s="211"/>
      <c r="G16" s="314">
        <f t="shared" si="0"/>
        <v>0</v>
      </c>
      <c r="J16" s="237"/>
    </row>
    <row r="17" spans="1:10" ht="15">
      <c r="A17" s="313" t="s">
        <v>900</v>
      </c>
      <c r="B17" s="326" t="s">
        <v>1015</v>
      </c>
      <c r="C17" s="337" t="s">
        <v>1023</v>
      </c>
      <c r="D17" s="331" t="s">
        <v>544</v>
      </c>
      <c r="E17" s="337">
        <v>8</v>
      </c>
      <c r="F17" s="211"/>
      <c r="G17" s="314">
        <f t="shared" si="0"/>
        <v>0</v>
      </c>
      <c r="J17" s="237"/>
    </row>
    <row r="18" spans="1:10" ht="12.45" customHeight="1">
      <c r="A18" s="313" t="s">
        <v>902</v>
      </c>
      <c r="B18" s="326" t="s">
        <v>1015</v>
      </c>
      <c r="C18" s="330" t="s">
        <v>1024</v>
      </c>
      <c r="D18" s="331" t="s">
        <v>544</v>
      </c>
      <c r="E18" s="330">
        <v>16</v>
      </c>
      <c r="F18" s="225"/>
      <c r="G18" s="314">
        <f t="shared" si="0"/>
        <v>0</v>
      </c>
      <c r="J18" s="237"/>
    </row>
    <row r="19" spans="1:10" ht="12.45" customHeight="1">
      <c r="A19" s="313" t="s">
        <v>904</v>
      </c>
      <c r="B19" s="326" t="s">
        <v>1015</v>
      </c>
      <c r="C19" s="313" t="s">
        <v>1025</v>
      </c>
      <c r="D19" s="331" t="s">
        <v>544</v>
      </c>
      <c r="E19" s="313">
        <v>4</v>
      </c>
      <c r="F19" s="218"/>
      <c r="G19" s="314">
        <f t="shared" si="0"/>
        <v>0</v>
      </c>
      <c r="J19" s="237"/>
    </row>
    <row r="20" spans="1:10" ht="12.45" customHeight="1">
      <c r="A20" s="313" t="s">
        <v>906</v>
      </c>
      <c r="B20" s="326" t="s">
        <v>1015</v>
      </c>
      <c r="C20" s="313" t="s">
        <v>1026</v>
      </c>
      <c r="D20" s="331" t="s">
        <v>544</v>
      </c>
      <c r="E20" s="313">
        <v>74</v>
      </c>
      <c r="F20" s="219"/>
      <c r="G20" s="314">
        <f t="shared" si="0"/>
        <v>0</v>
      </c>
      <c r="J20" s="237"/>
    </row>
    <row r="21" spans="1:10" ht="12.45" customHeight="1">
      <c r="A21" s="313" t="s">
        <v>908</v>
      </c>
      <c r="B21" s="326" t="s">
        <v>1015</v>
      </c>
      <c r="C21" s="313" t="s">
        <v>1027</v>
      </c>
      <c r="D21" s="331" t="s">
        <v>544</v>
      </c>
      <c r="E21" s="313">
        <v>9</v>
      </c>
      <c r="F21" s="219"/>
      <c r="G21" s="314">
        <f t="shared" si="0"/>
        <v>0</v>
      </c>
      <c r="J21" s="237"/>
    </row>
    <row r="22" spans="1:10" ht="12.45" customHeight="1">
      <c r="A22" s="313" t="s">
        <v>910</v>
      </c>
      <c r="B22" s="326" t="s">
        <v>1015</v>
      </c>
      <c r="C22" s="313" t="s">
        <v>1028</v>
      </c>
      <c r="D22" s="331" t="s">
        <v>544</v>
      </c>
      <c r="E22" s="313">
        <v>16</v>
      </c>
      <c r="F22" s="219"/>
      <c r="G22" s="314">
        <f t="shared" si="0"/>
        <v>0</v>
      </c>
      <c r="J22" s="237"/>
    </row>
    <row r="23" spans="1:10" ht="12.45" customHeight="1">
      <c r="A23" s="313" t="s">
        <v>912</v>
      </c>
      <c r="B23" s="326" t="s">
        <v>1015</v>
      </c>
      <c r="C23" s="339" t="s">
        <v>1029</v>
      </c>
      <c r="D23" s="331" t="s">
        <v>544</v>
      </c>
      <c r="E23" s="313">
        <v>1</v>
      </c>
      <c r="F23" s="218"/>
      <c r="G23" s="314">
        <f t="shared" si="0"/>
        <v>0</v>
      </c>
      <c r="J23" s="237"/>
    </row>
    <row r="24" spans="1:10" ht="15">
      <c r="A24" s="313" t="s">
        <v>914</v>
      </c>
      <c r="B24" s="326" t="s">
        <v>1015</v>
      </c>
      <c r="C24" s="313" t="s">
        <v>1030</v>
      </c>
      <c r="D24" s="331" t="s">
        <v>544</v>
      </c>
      <c r="E24" s="313">
        <v>198</v>
      </c>
      <c r="F24" s="218"/>
      <c r="G24" s="314">
        <f t="shared" si="0"/>
        <v>0</v>
      </c>
      <c r="I24" s="237"/>
      <c r="J24" s="237"/>
    </row>
    <row r="25" spans="1:10" ht="15">
      <c r="A25" s="313" t="s">
        <v>916</v>
      </c>
      <c r="B25" s="326" t="s">
        <v>1015</v>
      </c>
      <c r="C25" s="313" t="s">
        <v>1031</v>
      </c>
      <c r="D25" s="331" t="s">
        <v>544</v>
      </c>
      <c r="E25" s="313">
        <v>84</v>
      </c>
      <c r="F25" s="218"/>
      <c r="G25" s="314">
        <f t="shared" si="0"/>
        <v>0</v>
      </c>
      <c r="I25" s="237"/>
      <c r="J25" s="237"/>
    </row>
    <row r="26" spans="1:10" ht="15">
      <c r="A26" s="313" t="s">
        <v>918</v>
      </c>
      <c r="B26" s="326" t="s">
        <v>1015</v>
      </c>
      <c r="C26" s="313" t="s">
        <v>1032</v>
      </c>
      <c r="D26" s="331" t="s">
        <v>544</v>
      </c>
      <c r="E26" s="313">
        <v>32</v>
      </c>
      <c r="F26" s="218"/>
      <c r="G26" s="314">
        <f t="shared" si="0"/>
        <v>0</v>
      </c>
      <c r="I26" s="237"/>
      <c r="J26" s="237"/>
    </row>
    <row r="27" spans="1:10" ht="12.45" customHeight="1">
      <c r="A27" s="313" t="s">
        <v>920</v>
      </c>
      <c r="B27" s="326" t="s">
        <v>1015</v>
      </c>
      <c r="C27" s="313" t="s">
        <v>1033</v>
      </c>
      <c r="D27" s="331" t="s">
        <v>544</v>
      </c>
      <c r="E27" s="313">
        <v>8</v>
      </c>
      <c r="F27" s="218"/>
      <c r="G27" s="314">
        <f t="shared" si="0"/>
        <v>0</v>
      </c>
      <c r="I27" s="237"/>
      <c r="J27" s="210"/>
    </row>
    <row r="28" spans="1:10" ht="12.45" customHeight="1">
      <c r="A28" s="313" t="s">
        <v>922</v>
      </c>
      <c r="B28" s="326" t="s">
        <v>1015</v>
      </c>
      <c r="C28" s="313" t="s">
        <v>925</v>
      </c>
      <c r="D28" s="331" t="s">
        <v>544</v>
      </c>
      <c r="E28" s="313">
        <v>22</v>
      </c>
      <c r="F28" s="218"/>
      <c r="G28" s="314">
        <f t="shared" si="0"/>
        <v>0</v>
      </c>
      <c r="H28" s="230"/>
      <c r="I28" s="237"/>
      <c r="J28" s="210"/>
    </row>
    <row r="29" spans="1:10" ht="12.45" customHeight="1">
      <c r="A29" s="313" t="s">
        <v>924</v>
      </c>
      <c r="B29" s="326" t="s">
        <v>1015</v>
      </c>
      <c r="C29" s="313" t="s">
        <v>927</v>
      </c>
      <c r="D29" s="331" t="s">
        <v>544</v>
      </c>
      <c r="E29" s="313">
        <v>9</v>
      </c>
      <c r="F29" s="218"/>
      <c r="G29" s="314">
        <f t="shared" si="0"/>
        <v>0</v>
      </c>
      <c r="I29" s="237"/>
      <c r="J29" s="210"/>
    </row>
    <row r="30" spans="1:10" ht="12.45" customHeight="1">
      <c r="A30" s="313" t="s">
        <v>926</v>
      </c>
      <c r="B30" s="326" t="s">
        <v>1015</v>
      </c>
      <c r="C30" s="313" t="s">
        <v>1034</v>
      </c>
      <c r="D30" s="331" t="s">
        <v>74</v>
      </c>
      <c r="E30" s="313">
        <v>15</v>
      </c>
      <c r="F30" s="218"/>
      <c r="G30" s="314">
        <f t="shared" si="0"/>
        <v>0</v>
      </c>
      <c r="H30" s="242"/>
      <c r="I30" s="237"/>
      <c r="J30" s="210"/>
    </row>
    <row r="31" spans="1:10" ht="12.45" customHeight="1">
      <c r="A31" s="313" t="s">
        <v>928</v>
      </c>
      <c r="B31" s="326" t="s">
        <v>1015</v>
      </c>
      <c r="C31" s="313" t="s">
        <v>1035</v>
      </c>
      <c r="D31" s="331" t="s">
        <v>74</v>
      </c>
      <c r="E31" s="313">
        <v>20</v>
      </c>
      <c r="F31" s="218"/>
      <c r="G31" s="314">
        <f t="shared" si="0"/>
        <v>0</v>
      </c>
      <c r="I31" s="237"/>
      <c r="J31" s="210"/>
    </row>
    <row r="32" spans="1:10" ht="12.45" customHeight="1">
      <c r="A32" s="313" t="s">
        <v>930</v>
      </c>
      <c r="B32" s="326" t="s">
        <v>1015</v>
      </c>
      <c r="C32" s="313" t="s">
        <v>1036</v>
      </c>
      <c r="D32" s="331" t="s">
        <v>74</v>
      </c>
      <c r="E32" s="313">
        <v>10</v>
      </c>
      <c r="F32" s="218"/>
      <c r="G32" s="314">
        <f t="shared" si="0"/>
        <v>0</v>
      </c>
      <c r="H32" s="242"/>
      <c r="I32" s="237"/>
      <c r="J32" s="210"/>
    </row>
    <row r="33" spans="1:10" ht="15">
      <c r="A33" s="313" t="s">
        <v>932</v>
      </c>
      <c r="B33" s="326" t="s">
        <v>1015</v>
      </c>
      <c r="C33" s="313" t="s">
        <v>1037</v>
      </c>
      <c r="D33" s="331" t="s">
        <v>74</v>
      </c>
      <c r="E33" s="313">
        <v>15</v>
      </c>
      <c r="F33" s="218"/>
      <c r="G33" s="314">
        <f t="shared" si="0"/>
        <v>0</v>
      </c>
      <c r="H33" s="242"/>
      <c r="I33" s="237"/>
      <c r="J33" s="210"/>
    </row>
    <row r="34" spans="1:10" ht="15">
      <c r="A34" s="313" t="s">
        <v>934</v>
      </c>
      <c r="B34" s="326" t="s">
        <v>1015</v>
      </c>
      <c r="C34" s="313" t="s">
        <v>1038</v>
      </c>
      <c r="D34" s="331" t="s">
        <v>74</v>
      </c>
      <c r="E34" s="313">
        <v>10</v>
      </c>
      <c r="F34" s="218"/>
      <c r="G34" s="314">
        <f t="shared" si="0"/>
        <v>0</v>
      </c>
      <c r="H34" s="230"/>
      <c r="I34" s="237"/>
      <c r="J34" s="210"/>
    </row>
    <row r="35" spans="1:10" ht="15">
      <c r="A35" s="313" t="s">
        <v>936</v>
      </c>
      <c r="B35" s="326" t="s">
        <v>1015</v>
      </c>
      <c r="C35" s="330" t="s">
        <v>1039</v>
      </c>
      <c r="D35" s="331" t="s">
        <v>544</v>
      </c>
      <c r="E35" s="313">
        <v>140</v>
      </c>
      <c r="F35" s="218"/>
      <c r="G35" s="314">
        <f t="shared" si="0"/>
        <v>0</v>
      </c>
      <c r="H35" s="218"/>
      <c r="I35" s="237"/>
      <c r="J35" s="210"/>
    </row>
    <row r="36" spans="1:10" ht="12.45" customHeight="1">
      <c r="A36" s="313" t="s">
        <v>938</v>
      </c>
      <c r="B36" s="326" t="s">
        <v>1015</v>
      </c>
      <c r="C36" s="313" t="s">
        <v>1040</v>
      </c>
      <c r="D36" s="331" t="s">
        <v>544</v>
      </c>
      <c r="E36" s="313">
        <v>1210</v>
      </c>
      <c r="F36" s="218"/>
      <c r="G36" s="314">
        <f t="shared" si="0"/>
        <v>0</v>
      </c>
      <c r="J36" s="210"/>
    </row>
    <row r="37" spans="1:10" ht="12.45" customHeight="1">
      <c r="A37" s="313" t="s">
        <v>940</v>
      </c>
      <c r="B37" s="326" t="s">
        <v>1015</v>
      </c>
      <c r="C37" s="313" t="s">
        <v>1041</v>
      </c>
      <c r="D37" s="331" t="s">
        <v>544</v>
      </c>
      <c r="E37" s="313">
        <v>12</v>
      </c>
      <c r="F37" s="218"/>
      <c r="G37" s="314">
        <f t="shared" si="0"/>
        <v>0</v>
      </c>
      <c r="H37" s="218"/>
      <c r="J37" s="210"/>
    </row>
    <row r="38" spans="1:10" ht="12.45" customHeight="1">
      <c r="A38" s="313" t="s">
        <v>942</v>
      </c>
      <c r="B38" s="326" t="s">
        <v>1015</v>
      </c>
      <c r="C38" s="313" t="s">
        <v>947</v>
      </c>
      <c r="D38" s="331" t="s">
        <v>544</v>
      </c>
      <c r="E38" s="313">
        <v>740</v>
      </c>
      <c r="F38" s="218"/>
      <c r="G38" s="314">
        <f t="shared" si="0"/>
        <v>0</v>
      </c>
      <c r="H38" s="218"/>
      <c r="J38" s="210"/>
    </row>
    <row r="39" spans="1:10" ht="12.45" customHeight="1">
      <c r="A39" s="313" t="s">
        <v>944</v>
      </c>
      <c r="B39" s="326" t="s">
        <v>1015</v>
      </c>
      <c r="C39" s="313" t="s">
        <v>1042</v>
      </c>
      <c r="D39" s="331" t="s">
        <v>544</v>
      </c>
      <c r="E39" s="313">
        <v>28</v>
      </c>
      <c r="F39" s="218"/>
      <c r="G39" s="314">
        <f t="shared" si="0"/>
        <v>0</v>
      </c>
      <c r="H39" s="218"/>
      <c r="J39" s="210"/>
    </row>
    <row r="40" spans="1:10" ht="12.45" customHeight="1">
      <c r="A40" s="313" t="s">
        <v>946</v>
      </c>
      <c r="B40" s="326" t="s">
        <v>1015</v>
      </c>
      <c r="C40" s="313" t="s">
        <v>1043</v>
      </c>
      <c r="D40" s="331" t="s">
        <v>544</v>
      </c>
      <c r="E40" s="313">
        <v>56</v>
      </c>
      <c r="F40" s="218"/>
      <c r="G40" s="314">
        <f t="shared" si="0"/>
        <v>0</v>
      </c>
      <c r="H40" s="218"/>
      <c r="J40" s="210"/>
    </row>
    <row r="41" spans="1:10" ht="12.45" customHeight="1">
      <c r="A41" s="313" t="s">
        <v>948</v>
      </c>
      <c r="B41" s="326" t="s">
        <v>1015</v>
      </c>
      <c r="C41" s="340" t="s">
        <v>953</v>
      </c>
      <c r="D41" s="316" t="s">
        <v>544</v>
      </c>
      <c r="E41" s="341">
        <v>8</v>
      </c>
      <c r="F41" s="225"/>
      <c r="G41" s="314">
        <f t="shared" si="0"/>
        <v>0</v>
      </c>
      <c r="H41" s="218"/>
      <c r="J41" s="210"/>
    </row>
    <row r="42" spans="1:10" ht="12.45" customHeight="1">
      <c r="A42" s="330" t="s">
        <v>950</v>
      </c>
      <c r="B42" s="326" t="s">
        <v>1015</v>
      </c>
      <c r="C42" s="313" t="s">
        <v>1044</v>
      </c>
      <c r="D42" s="316" t="s">
        <v>18</v>
      </c>
      <c r="E42" s="330">
        <v>0.8</v>
      </c>
      <c r="F42" s="225"/>
      <c r="G42" s="314">
        <f t="shared" si="0"/>
        <v>0</v>
      </c>
      <c r="H42" s="218"/>
      <c r="J42" s="210"/>
    </row>
    <row r="43" spans="1:10" ht="12.45" customHeight="1">
      <c r="A43" s="330" t="s">
        <v>952</v>
      </c>
      <c r="B43" s="326" t="s">
        <v>1015</v>
      </c>
      <c r="C43" s="330" t="s">
        <v>1045</v>
      </c>
      <c r="D43" s="331" t="s">
        <v>544</v>
      </c>
      <c r="E43" s="313">
        <v>6</v>
      </c>
      <c r="F43" s="218"/>
      <c r="G43" s="314">
        <f t="shared" si="0"/>
        <v>0</v>
      </c>
      <c r="H43" s="242"/>
      <c r="J43" s="210"/>
    </row>
    <row r="44" spans="1:10" ht="12.45" customHeight="1">
      <c r="A44" s="330" t="s">
        <v>954</v>
      </c>
      <c r="B44" s="326" t="s">
        <v>1015</v>
      </c>
      <c r="C44" s="313" t="s">
        <v>1046</v>
      </c>
      <c r="D44" s="331" t="s">
        <v>544</v>
      </c>
      <c r="E44" s="313">
        <v>510</v>
      </c>
      <c r="F44" s="218"/>
      <c r="G44" s="314">
        <f t="shared" si="0"/>
        <v>0</v>
      </c>
      <c r="H44" s="242"/>
      <c r="I44" s="237"/>
      <c r="J44" s="210"/>
    </row>
    <row r="45" spans="1:10" ht="12.45" customHeight="1">
      <c r="A45" s="330" t="s">
        <v>956</v>
      </c>
      <c r="B45" s="326" t="s">
        <v>1015</v>
      </c>
      <c r="C45" s="313" t="s">
        <v>1047</v>
      </c>
      <c r="D45" s="331" t="s">
        <v>544</v>
      </c>
      <c r="E45" s="313">
        <v>150</v>
      </c>
      <c r="F45" s="218"/>
      <c r="G45" s="314">
        <f t="shared" si="0"/>
        <v>0</v>
      </c>
      <c r="I45" s="237"/>
      <c r="J45" s="210"/>
    </row>
    <row r="46" spans="1:10" ht="12.45" customHeight="1">
      <c r="A46" s="313" t="s">
        <v>958</v>
      </c>
      <c r="B46" s="326" t="s">
        <v>1015</v>
      </c>
      <c r="C46" s="313" t="s">
        <v>1048</v>
      </c>
      <c r="D46" s="331" t="s">
        <v>544</v>
      </c>
      <c r="E46" s="313">
        <v>25</v>
      </c>
      <c r="F46" s="218"/>
      <c r="G46" s="314">
        <f t="shared" si="0"/>
        <v>0</v>
      </c>
      <c r="I46" s="237"/>
      <c r="J46" s="210"/>
    </row>
    <row r="47" spans="1:10" ht="12.45" customHeight="1">
      <c r="A47" s="337"/>
      <c r="B47" s="326"/>
      <c r="C47" s="327"/>
      <c r="D47" s="327"/>
      <c r="E47" s="327"/>
      <c r="G47" s="328"/>
      <c r="I47" s="237"/>
      <c r="J47" s="237"/>
    </row>
    <row r="48" spans="1:10" ht="12.45" customHeight="1">
      <c r="A48" s="313"/>
      <c r="B48" s="326"/>
      <c r="C48" s="313"/>
      <c r="D48" s="316"/>
      <c r="E48" s="337"/>
      <c r="F48" s="211"/>
      <c r="G48" s="329">
        <f>SUM(G13:G47)</f>
        <v>0</v>
      </c>
      <c r="I48" s="237"/>
      <c r="J48" s="237"/>
    </row>
    <row r="49" spans="1:10" ht="12.45" customHeight="1">
      <c r="A49" s="313"/>
      <c r="B49" s="326"/>
      <c r="C49" s="313"/>
      <c r="D49" s="331"/>
      <c r="E49" s="313"/>
      <c r="F49" s="218"/>
      <c r="G49" s="314"/>
      <c r="I49" s="237"/>
      <c r="J49" s="237"/>
    </row>
    <row r="50" spans="1:10" ht="12.45" customHeight="1">
      <c r="A50" s="332"/>
      <c r="B50" s="333"/>
      <c r="C50" s="319" t="s">
        <v>1049</v>
      </c>
      <c r="D50" s="319"/>
      <c r="E50" s="333"/>
      <c r="F50" s="229"/>
      <c r="G50" s="334"/>
      <c r="I50" s="237"/>
      <c r="J50" s="237"/>
    </row>
    <row r="51" spans="1:10" ht="12.45" customHeight="1">
      <c r="A51" s="313"/>
      <c r="B51" s="313"/>
      <c r="C51" s="313"/>
      <c r="D51" s="313"/>
      <c r="E51" s="313"/>
      <c r="F51" s="218"/>
      <c r="G51" s="314"/>
      <c r="H51" s="230"/>
      <c r="I51" s="237"/>
      <c r="J51" s="237"/>
    </row>
    <row r="52" spans="1:10" ht="12.45" customHeight="1">
      <c r="A52" s="313" t="s">
        <v>889</v>
      </c>
      <c r="B52" s="326" t="s">
        <v>1015</v>
      </c>
      <c r="C52" s="313" t="s">
        <v>1050</v>
      </c>
      <c r="D52" s="331" t="s">
        <v>544</v>
      </c>
      <c r="E52" s="313">
        <v>133</v>
      </c>
      <c r="F52" s="218"/>
      <c r="G52" s="314">
        <f>(E52*F52)</f>
        <v>0</v>
      </c>
      <c r="I52" s="237"/>
      <c r="J52" s="237"/>
    </row>
    <row r="53" spans="1:10" ht="12.45" customHeight="1">
      <c r="A53" s="313"/>
      <c r="B53" s="326"/>
      <c r="C53" s="313"/>
      <c r="D53" s="324"/>
      <c r="E53" s="313"/>
      <c r="F53" s="218"/>
      <c r="G53" s="328"/>
      <c r="H53" s="230"/>
      <c r="I53" s="237"/>
      <c r="J53" s="237"/>
    </row>
    <row r="54" spans="1:10" ht="12.45" customHeight="1">
      <c r="A54" s="327"/>
      <c r="B54" s="327"/>
      <c r="C54" s="327"/>
      <c r="D54" s="327"/>
      <c r="E54" s="327"/>
      <c r="G54" s="329">
        <f>SUM(G52:G53)</f>
        <v>0</v>
      </c>
      <c r="H54" s="230"/>
      <c r="I54" s="237"/>
      <c r="J54" s="237"/>
    </row>
    <row r="55" spans="1:10" ht="12.45" customHeight="1">
      <c r="A55" s="330"/>
      <c r="B55" s="326"/>
      <c r="C55" s="327"/>
      <c r="D55" s="327"/>
      <c r="E55" s="327"/>
      <c r="G55" s="328"/>
      <c r="I55" s="237"/>
      <c r="J55" s="237"/>
    </row>
    <row r="56" spans="1:10" ht="12.45" customHeight="1">
      <c r="A56" s="332"/>
      <c r="B56" s="333"/>
      <c r="C56" s="319" t="s">
        <v>1051</v>
      </c>
      <c r="D56" s="319"/>
      <c r="E56" s="333"/>
      <c r="F56" s="229"/>
      <c r="G56" s="334"/>
      <c r="I56" s="210"/>
      <c r="J56" s="237"/>
    </row>
    <row r="57" spans="1:10" ht="12.45" customHeight="1">
      <c r="A57" s="313"/>
      <c r="B57" s="313"/>
      <c r="C57" s="313"/>
      <c r="D57" s="313"/>
      <c r="E57" s="313"/>
      <c r="F57" s="218"/>
      <c r="G57" s="314"/>
      <c r="I57" s="210"/>
      <c r="J57" s="237"/>
    </row>
    <row r="58" spans="1:10" ht="12.45" customHeight="1">
      <c r="A58" s="313" t="s">
        <v>889</v>
      </c>
      <c r="B58" s="326" t="s">
        <v>1015</v>
      </c>
      <c r="C58" s="313" t="s">
        <v>1052</v>
      </c>
      <c r="D58" s="331" t="s">
        <v>74</v>
      </c>
      <c r="E58" s="313">
        <v>710</v>
      </c>
      <c r="F58" s="218"/>
      <c r="G58" s="314">
        <f aca="true" t="shared" si="1" ref="G58:G68">E58*F58</f>
        <v>0</v>
      </c>
      <c r="I58" s="210"/>
      <c r="J58" s="237"/>
    </row>
    <row r="59" spans="1:10" ht="12.45" customHeight="1">
      <c r="A59" s="313" t="s">
        <v>891</v>
      </c>
      <c r="B59" s="326" t="s">
        <v>1015</v>
      </c>
      <c r="C59" s="313" t="s">
        <v>1053</v>
      </c>
      <c r="D59" s="331" t="s">
        <v>74</v>
      </c>
      <c r="E59" s="313">
        <v>2490</v>
      </c>
      <c r="F59" s="218"/>
      <c r="G59" s="314">
        <f t="shared" si="1"/>
        <v>0</v>
      </c>
      <c r="I59" s="210"/>
      <c r="J59" s="237"/>
    </row>
    <row r="60" spans="1:10" ht="12.45" customHeight="1">
      <c r="A60" s="313" t="s">
        <v>896</v>
      </c>
      <c r="B60" s="326" t="s">
        <v>1015</v>
      </c>
      <c r="C60" s="313" t="s">
        <v>1054</v>
      </c>
      <c r="D60" s="331" t="s">
        <v>74</v>
      </c>
      <c r="E60" s="313">
        <v>1770</v>
      </c>
      <c r="F60" s="218"/>
      <c r="G60" s="314">
        <f t="shared" si="1"/>
        <v>0</v>
      </c>
      <c r="I60" s="210"/>
      <c r="J60" s="237"/>
    </row>
    <row r="61" spans="1:10" ht="12.45" customHeight="1">
      <c r="A61" s="313" t="s">
        <v>898</v>
      </c>
      <c r="B61" s="326" t="s">
        <v>1015</v>
      </c>
      <c r="C61" s="313" t="s">
        <v>1055</v>
      </c>
      <c r="D61" s="331" t="s">
        <v>74</v>
      </c>
      <c r="E61" s="313">
        <v>460</v>
      </c>
      <c r="F61" s="218"/>
      <c r="G61" s="314">
        <f t="shared" si="1"/>
        <v>0</v>
      </c>
      <c r="I61" s="210"/>
      <c r="J61" s="237"/>
    </row>
    <row r="62" spans="1:10" ht="12.45" customHeight="1">
      <c r="A62" s="313" t="s">
        <v>900</v>
      </c>
      <c r="B62" s="326" t="s">
        <v>1015</v>
      </c>
      <c r="C62" s="313" t="s">
        <v>1056</v>
      </c>
      <c r="D62" s="331" t="s">
        <v>74</v>
      </c>
      <c r="E62" s="313">
        <v>20</v>
      </c>
      <c r="F62" s="218"/>
      <c r="G62" s="314">
        <f t="shared" si="1"/>
        <v>0</v>
      </c>
      <c r="I62" s="210"/>
      <c r="J62" s="237"/>
    </row>
    <row r="63" spans="1:10" ht="12.45" customHeight="1">
      <c r="A63" s="313" t="s">
        <v>902</v>
      </c>
      <c r="B63" s="326" t="s">
        <v>1015</v>
      </c>
      <c r="C63" s="313" t="s">
        <v>1057</v>
      </c>
      <c r="D63" s="316" t="s">
        <v>74</v>
      </c>
      <c r="E63" s="337">
        <v>20</v>
      </c>
      <c r="F63" s="211"/>
      <c r="G63" s="314">
        <f t="shared" si="1"/>
        <v>0</v>
      </c>
      <c r="I63" s="210"/>
      <c r="J63" s="237"/>
    </row>
    <row r="64" spans="1:10" ht="12.45" customHeight="1">
      <c r="A64" s="313" t="s">
        <v>904</v>
      </c>
      <c r="B64" s="326" t="s">
        <v>1015</v>
      </c>
      <c r="C64" s="313" t="s">
        <v>991</v>
      </c>
      <c r="D64" s="316" t="s">
        <v>74</v>
      </c>
      <c r="E64" s="337">
        <v>70</v>
      </c>
      <c r="F64" s="211"/>
      <c r="G64" s="314">
        <f t="shared" si="1"/>
        <v>0</v>
      </c>
      <c r="I64" s="237"/>
      <c r="J64" s="237"/>
    </row>
    <row r="65" spans="1:10" ht="12.45" customHeight="1">
      <c r="A65" s="313" t="s">
        <v>906</v>
      </c>
      <c r="B65" s="326" t="s">
        <v>1015</v>
      </c>
      <c r="C65" s="313" t="s">
        <v>992</v>
      </c>
      <c r="D65" s="316" t="s">
        <v>74</v>
      </c>
      <c r="E65" s="337">
        <v>210</v>
      </c>
      <c r="F65" s="211"/>
      <c r="G65" s="314">
        <f t="shared" si="1"/>
        <v>0</v>
      </c>
      <c r="J65" s="237"/>
    </row>
    <row r="66" spans="1:10" ht="12.45" customHeight="1">
      <c r="A66" s="313" t="s">
        <v>908</v>
      </c>
      <c r="B66" s="326" t="s">
        <v>1015</v>
      </c>
      <c r="C66" s="313" t="s">
        <v>993</v>
      </c>
      <c r="D66" s="316" t="s">
        <v>74</v>
      </c>
      <c r="E66" s="337">
        <v>270</v>
      </c>
      <c r="F66" s="211"/>
      <c r="G66" s="314">
        <f t="shared" si="1"/>
        <v>0</v>
      </c>
      <c r="J66" s="237"/>
    </row>
    <row r="67" spans="1:10" ht="15">
      <c r="A67" s="313" t="s">
        <v>910</v>
      </c>
      <c r="B67" s="326" t="s">
        <v>1015</v>
      </c>
      <c r="C67" s="313" t="s">
        <v>994</v>
      </c>
      <c r="D67" s="316" t="s">
        <v>74</v>
      </c>
      <c r="E67" s="337">
        <v>30</v>
      </c>
      <c r="F67" s="211"/>
      <c r="G67" s="314">
        <f t="shared" si="1"/>
        <v>0</v>
      </c>
      <c r="J67" s="237"/>
    </row>
    <row r="68" spans="1:10" ht="15">
      <c r="A68" s="313" t="s">
        <v>912</v>
      </c>
      <c r="B68" s="326" t="s">
        <v>1015</v>
      </c>
      <c r="C68" s="313" t="s">
        <v>1058</v>
      </c>
      <c r="D68" s="316" t="s">
        <v>74</v>
      </c>
      <c r="E68" s="337">
        <v>55</v>
      </c>
      <c r="F68" s="211"/>
      <c r="G68" s="314">
        <f t="shared" si="1"/>
        <v>0</v>
      </c>
      <c r="J68" s="237"/>
    </row>
    <row r="69" spans="1:10" ht="15">
      <c r="A69" s="313"/>
      <c r="B69" s="326"/>
      <c r="C69" s="327"/>
      <c r="D69" s="327"/>
      <c r="E69" s="327"/>
      <c r="G69" s="328"/>
      <c r="J69" s="237"/>
    </row>
    <row r="70" spans="1:10" ht="15">
      <c r="A70" s="337"/>
      <c r="B70" s="342"/>
      <c r="C70" s="327"/>
      <c r="D70" s="327"/>
      <c r="E70" s="327"/>
      <c r="G70" s="329">
        <f>SUM(G58:G69)</f>
        <v>0</v>
      </c>
      <c r="J70" s="237"/>
    </row>
    <row r="71" spans="1:10" ht="15">
      <c r="A71" s="337"/>
      <c r="B71" s="342"/>
      <c r="C71" s="327"/>
      <c r="D71" s="327"/>
      <c r="E71" s="327"/>
      <c r="G71" s="343"/>
      <c r="J71" s="237"/>
    </row>
    <row r="72" spans="1:10" ht="15">
      <c r="A72" s="318"/>
      <c r="B72" s="344"/>
      <c r="C72" s="319" t="s">
        <v>1059</v>
      </c>
      <c r="D72" s="319"/>
      <c r="E72" s="319"/>
      <c r="F72" s="240"/>
      <c r="G72" s="321"/>
      <c r="J72" s="237"/>
    </row>
    <row r="73" spans="1:10" ht="15">
      <c r="A73" s="313"/>
      <c r="B73" s="326"/>
      <c r="C73" s="313"/>
      <c r="D73" s="313"/>
      <c r="E73" s="313"/>
      <c r="F73" s="218"/>
      <c r="G73" s="314"/>
      <c r="J73" s="237"/>
    </row>
    <row r="74" spans="1:10" ht="71.4">
      <c r="A74" s="345" t="s">
        <v>889</v>
      </c>
      <c r="B74" s="346" t="s">
        <v>1015</v>
      </c>
      <c r="C74" s="347" t="s">
        <v>1060</v>
      </c>
      <c r="D74" s="324" t="s">
        <v>544</v>
      </c>
      <c r="E74" s="348">
        <v>2</v>
      </c>
      <c r="F74" s="215"/>
      <c r="G74" s="349">
        <f aca="true" t="shared" si="2" ref="G74:G83">(E74*F74)</f>
        <v>0</v>
      </c>
      <c r="J74" s="237"/>
    </row>
    <row r="75" spans="1:10" ht="71.4">
      <c r="A75" s="345" t="s">
        <v>891</v>
      </c>
      <c r="B75" s="346" t="s">
        <v>1015</v>
      </c>
      <c r="C75" s="347" t="s">
        <v>1061</v>
      </c>
      <c r="D75" s="324" t="s">
        <v>544</v>
      </c>
      <c r="E75" s="348">
        <v>2</v>
      </c>
      <c r="F75" s="215"/>
      <c r="G75" s="349">
        <f t="shared" si="2"/>
        <v>0</v>
      </c>
      <c r="J75" s="237"/>
    </row>
    <row r="76" spans="1:10" ht="15">
      <c r="A76" s="341" t="s">
        <v>896</v>
      </c>
      <c r="B76" s="350" t="s">
        <v>1015</v>
      </c>
      <c r="C76" s="351" t="s">
        <v>1062</v>
      </c>
      <c r="D76" s="331" t="s">
        <v>544</v>
      </c>
      <c r="E76" s="316">
        <v>8</v>
      </c>
      <c r="F76" s="225"/>
      <c r="G76" s="336">
        <f t="shared" si="2"/>
        <v>0</v>
      </c>
      <c r="J76" s="237"/>
    </row>
    <row r="77" spans="1:10" ht="20.4">
      <c r="A77" s="345" t="s">
        <v>898</v>
      </c>
      <c r="B77" s="346" t="s">
        <v>1015</v>
      </c>
      <c r="C77" s="322" t="s">
        <v>1001</v>
      </c>
      <c r="D77" s="348" t="s">
        <v>544</v>
      </c>
      <c r="E77" s="348">
        <v>4</v>
      </c>
      <c r="F77" s="215"/>
      <c r="G77" s="349">
        <f t="shared" si="2"/>
        <v>0</v>
      </c>
      <c r="J77" s="237"/>
    </row>
    <row r="78" spans="1:10" ht="15">
      <c r="A78" s="341" t="s">
        <v>900</v>
      </c>
      <c r="B78" s="350" t="s">
        <v>1015</v>
      </c>
      <c r="C78" s="330" t="s">
        <v>1063</v>
      </c>
      <c r="D78" s="352" t="s">
        <v>544</v>
      </c>
      <c r="E78" s="341">
        <v>4</v>
      </c>
      <c r="F78" s="415"/>
      <c r="G78" s="336">
        <f t="shared" si="2"/>
        <v>0</v>
      </c>
      <c r="J78" s="237"/>
    </row>
    <row r="79" spans="1:10" ht="15">
      <c r="A79" s="341" t="s">
        <v>902</v>
      </c>
      <c r="B79" s="350" t="s">
        <v>1015</v>
      </c>
      <c r="C79" s="330" t="s">
        <v>1064</v>
      </c>
      <c r="D79" s="352" t="s">
        <v>544</v>
      </c>
      <c r="E79" s="341">
        <v>26</v>
      </c>
      <c r="F79" s="415"/>
      <c r="G79" s="336">
        <f t="shared" si="2"/>
        <v>0</v>
      </c>
      <c r="J79" s="237"/>
    </row>
    <row r="80" spans="1:10" ht="15">
      <c r="A80" s="341" t="s">
        <v>904</v>
      </c>
      <c r="B80" s="350" t="s">
        <v>1015</v>
      </c>
      <c r="C80" s="313" t="s">
        <v>1006</v>
      </c>
      <c r="D80" s="316" t="s">
        <v>74</v>
      </c>
      <c r="E80" s="316">
        <v>80</v>
      </c>
      <c r="F80" s="225"/>
      <c r="G80" s="336">
        <f t="shared" si="2"/>
        <v>0</v>
      </c>
      <c r="J80" s="237"/>
    </row>
    <row r="81" spans="1:10" ht="15">
      <c r="A81" s="341" t="s">
        <v>906</v>
      </c>
      <c r="B81" s="350" t="s">
        <v>1015</v>
      </c>
      <c r="C81" s="330" t="s">
        <v>1065</v>
      </c>
      <c r="D81" s="316" t="s">
        <v>74</v>
      </c>
      <c r="E81" s="316">
        <v>10</v>
      </c>
      <c r="F81" s="225"/>
      <c r="G81" s="336">
        <f t="shared" si="2"/>
        <v>0</v>
      </c>
      <c r="J81" s="237"/>
    </row>
    <row r="82" spans="1:7" ht="15">
      <c r="A82" s="341" t="s">
        <v>908</v>
      </c>
      <c r="B82" s="350" t="s">
        <v>1015</v>
      </c>
      <c r="C82" s="330" t="s">
        <v>1066</v>
      </c>
      <c r="D82" s="352" t="s">
        <v>544</v>
      </c>
      <c r="E82" s="330">
        <v>8</v>
      </c>
      <c r="F82" s="415"/>
      <c r="G82" s="336">
        <f t="shared" si="2"/>
        <v>0</v>
      </c>
    </row>
    <row r="83" spans="1:7" ht="15">
      <c r="A83" s="341" t="s">
        <v>910</v>
      </c>
      <c r="B83" s="350" t="s">
        <v>1015</v>
      </c>
      <c r="C83" s="330" t="s">
        <v>1067</v>
      </c>
      <c r="D83" s="352" t="s">
        <v>544</v>
      </c>
      <c r="E83" s="341">
        <v>26</v>
      </c>
      <c r="F83" s="415"/>
      <c r="G83" s="336">
        <f t="shared" si="2"/>
        <v>0</v>
      </c>
    </row>
    <row r="84" spans="1:7" ht="15">
      <c r="A84" s="313"/>
      <c r="B84" s="326"/>
      <c r="C84" s="327"/>
      <c r="D84" s="327"/>
      <c r="E84" s="327"/>
      <c r="G84" s="328"/>
    </row>
    <row r="85" spans="1:7" ht="15">
      <c r="A85" s="337"/>
      <c r="B85" s="342"/>
      <c r="C85" s="327"/>
      <c r="D85" s="327"/>
      <c r="E85" s="327"/>
      <c r="G85" s="329">
        <f>SUM(G74:G84)</f>
        <v>0</v>
      </c>
    </row>
    <row r="86" spans="1:7" ht="15">
      <c r="A86" s="337"/>
      <c r="B86" s="342"/>
      <c r="C86" s="337"/>
      <c r="D86" s="316"/>
      <c r="E86" s="337"/>
      <c r="F86" s="218"/>
      <c r="G86" s="328"/>
    </row>
    <row r="87" spans="1:7" ht="15">
      <c r="A87" s="318"/>
      <c r="B87" s="344"/>
      <c r="C87" s="319" t="s">
        <v>1068</v>
      </c>
      <c r="D87" s="319"/>
      <c r="E87" s="319"/>
      <c r="F87" s="240"/>
      <c r="G87" s="321"/>
    </row>
    <row r="88" spans="1:7" ht="15">
      <c r="A88" s="313"/>
      <c r="B88" s="326"/>
      <c r="C88" s="313"/>
      <c r="D88" s="313"/>
      <c r="E88" s="313"/>
      <c r="F88" s="218"/>
      <c r="G88" s="314"/>
    </row>
    <row r="89" spans="1:8" ht="15">
      <c r="A89" s="313" t="s">
        <v>889</v>
      </c>
      <c r="B89" s="350" t="s">
        <v>1015</v>
      </c>
      <c r="C89" s="313" t="s">
        <v>1069</v>
      </c>
      <c r="D89" s="352" t="s">
        <v>544</v>
      </c>
      <c r="E89" s="313">
        <v>282</v>
      </c>
      <c r="F89" s="218"/>
      <c r="G89" s="314">
        <f aca="true" t="shared" si="3" ref="G89:G109">E89*F89</f>
        <v>0</v>
      </c>
      <c r="H89" s="230"/>
    </row>
    <row r="90" spans="1:8" ht="15">
      <c r="A90" s="313" t="s">
        <v>891</v>
      </c>
      <c r="B90" s="350" t="s">
        <v>1015</v>
      </c>
      <c r="C90" s="313" t="s">
        <v>1070</v>
      </c>
      <c r="D90" s="352" t="s">
        <v>544</v>
      </c>
      <c r="E90" s="313">
        <v>71</v>
      </c>
      <c r="F90" s="218"/>
      <c r="G90" s="314">
        <f t="shared" si="3"/>
        <v>0</v>
      </c>
      <c r="H90" s="230"/>
    </row>
    <row r="91" spans="1:8" ht="15">
      <c r="A91" s="313" t="s">
        <v>896</v>
      </c>
      <c r="B91" s="350" t="s">
        <v>1015</v>
      </c>
      <c r="C91" s="313" t="s">
        <v>1071</v>
      </c>
      <c r="D91" s="352" t="s">
        <v>74</v>
      </c>
      <c r="E91" s="313">
        <v>405</v>
      </c>
      <c r="F91" s="218"/>
      <c r="G91" s="314">
        <f t="shared" si="3"/>
        <v>0</v>
      </c>
      <c r="H91" s="230"/>
    </row>
    <row r="92" spans="1:8" ht="15">
      <c r="A92" s="313" t="s">
        <v>898</v>
      </c>
      <c r="B92" s="350" t="s">
        <v>1015</v>
      </c>
      <c r="C92" s="313" t="s">
        <v>1072</v>
      </c>
      <c r="D92" s="352" t="s">
        <v>74</v>
      </c>
      <c r="E92" s="313">
        <v>240</v>
      </c>
      <c r="F92" s="218"/>
      <c r="G92" s="314">
        <f t="shared" si="3"/>
        <v>0</v>
      </c>
      <c r="H92" s="230"/>
    </row>
    <row r="93" spans="1:8" ht="15">
      <c r="A93" s="313" t="s">
        <v>900</v>
      </c>
      <c r="B93" s="350" t="s">
        <v>1015</v>
      </c>
      <c r="C93" s="313" t="s">
        <v>1073</v>
      </c>
      <c r="D93" s="352" t="s">
        <v>74</v>
      </c>
      <c r="E93" s="313">
        <v>125</v>
      </c>
      <c r="F93" s="218"/>
      <c r="G93" s="314">
        <f t="shared" si="3"/>
        <v>0</v>
      </c>
      <c r="H93" s="230"/>
    </row>
    <row r="94" spans="1:10" ht="15">
      <c r="A94" s="313" t="s">
        <v>902</v>
      </c>
      <c r="B94" s="350" t="s">
        <v>1015</v>
      </c>
      <c r="C94" s="313" t="s">
        <v>1074</v>
      </c>
      <c r="D94" s="352" t="s">
        <v>74</v>
      </c>
      <c r="E94" s="313">
        <v>20</v>
      </c>
      <c r="F94" s="218"/>
      <c r="G94" s="314">
        <f t="shared" si="3"/>
        <v>0</v>
      </c>
      <c r="H94" s="230"/>
      <c r="J94" s="237"/>
    </row>
    <row r="95" spans="1:10" ht="15">
      <c r="A95" s="313" t="s">
        <v>904</v>
      </c>
      <c r="B95" s="350" t="s">
        <v>1015</v>
      </c>
      <c r="C95" s="313" t="s">
        <v>1075</v>
      </c>
      <c r="D95" s="352" t="s">
        <v>544</v>
      </c>
      <c r="E95" s="313">
        <v>19</v>
      </c>
      <c r="F95" s="218"/>
      <c r="G95" s="314">
        <f t="shared" si="3"/>
        <v>0</v>
      </c>
      <c r="J95" s="237"/>
    </row>
    <row r="96" spans="1:10" ht="15">
      <c r="A96" s="313" t="s">
        <v>906</v>
      </c>
      <c r="B96" s="350" t="s">
        <v>1015</v>
      </c>
      <c r="C96" s="313" t="s">
        <v>1076</v>
      </c>
      <c r="D96" s="352" t="s">
        <v>544</v>
      </c>
      <c r="E96" s="313">
        <v>16</v>
      </c>
      <c r="F96" s="218"/>
      <c r="G96" s="314">
        <f t="shared" si="3"/>
        <v>0</v>
      </c>
      <c r="J96" s="237"/>
    </row>
    <row r="97" spans="1:10" ht="15">
      <c r="A97" s="313" t="s">
        <v>908</v>
      </c>
      <c r="B97" s="350" t="s">
        <v>1015</v>
      </c>
      <c r="C97" s="313" t="s">
        <v>1077</v>
      </c>
      <c r="D97" s="352" t="s">
        <v>544</v>
      </c>
      <c r="E97" s="313">
        <v>5</v>
      </c>
      <c r="F97" s="218"/>
      <c r="G97" s="314">
        <f t="shared" si="3"/>
        <v>0</v>
      </c>
      <c r="J97" s="237"/>
    </row>
    <row r="98" spans="1:10" ht="15">
      <c r="A98" s="313" t="s">
        <v>910</v>
      </c>
      <c r="B98" s="350" t="s">
        <v>1015</v>
      </c>
      <c r="C98" s="330" t="s">
        <v>1078</v>
      </c>
      <c r="D98" s="352" t="s">
        <v>544</v>
      </c>
      <c r="E98" s="330">
        <v>1</v>
      </c>
      <c r="F98" s="225"/>
      <c r="G98" s="314">
        <f t="shared" si="3"/>
        <v>0</v>
      </c>
      <c r="J98" s="237"/>
    </row>
    <row r="99" spans="1:10" ht="15">
      <c r="A99" s="313" t="s">
        <v>912</v>
      </c>
      <c r="B99" s="350" t="s">
        <v>1015</v>
      </c>
      <c r="C99" s="330" t="s">
        <v>1079</v>
      </c>
      <c r="D99" s="352" t="s">
        <v>544</v>
      </c>
      <c r="E99" s="330">
        <v>1</v>
      </c>
      <c r="F99" s="225"/>
      <c r="G99" s="314">
        <f t="shared" si="3"/>
        <v>0</v>
      </c>
      <c r="J99" s="237"/>
    </row>
    <row r="100" spans="1:10" ht="15">
      <c r="A100" s="313" t="s">
        <v>914</v>
      </c>
      <c r="B100" s="350" t="s">
        <v>1015</v>
      </c>
      <c r="C100" s="313" t="s">
        <v>1080</v>
      </c>
      <c r="D100" s="352" t="s">
        <v>130</v>
      </c>
      <c r="E100" s="331">
        <v>3.9</v>
      </c>
      <c r="F100" s="218"/>
      <c r="G100" s="314">
        <f t="shared" si="3"/>
        <v>0</v>
      </c>
      <c r="H100" s="230"/>
      <c r="I100" s="237"/>
      <c r="J100" s="237"/>
    </row>
    <row r="101" spans="1:10" ht="20.4">
      <c r="A101" s="313" t="s">
        <v>916</v>
      </c>
      <c r="B101" s="326" t="s">
        <v>1015</v>
      </c>
      <c r="C101" s="322" t="s">
        <v>1081</v>
      </c>
      <c r="D101" s="353" t="s">
        <v>130</v>
      </c>
      <c r="E101" s="354">
        <v>3.9</v>
      </c>
      <c r="F101" s="220"/>
      <c r="G101" s="325">
        <f t="shared" si="3"/>
        <v>0</v>
      </c>
      <c r="J101" s="237"/>
    </row>
    <row r="102" spans="1:10" ht="20.4">
      <c r="A102" s="322" t="s">
        <v>918</v>
      </c>
      <c r="B102" s="323" t="s">
        <v>1015</v>
      </c>
      <c r="C102" s="322" t="s">
        <v>1082</v>
      </c>
      <c r="D102" s="353" t="s">
        <v>130</v>
      </c>
      <c r="E102" s="354">
        <v>3.9</v>
      </c>
      <c r="F102" s="220"/>
      <c r="G102" s="325">
        <f t="shared" si="3"/>
        <v>0</v>
      </c>
      <c r="H102" s="210"/>
      <c r="J102" s="237"/>
    </row>
    <row r="103" spans="1:10" ht="20.4">
      <c r="A103" s="322" t="s">
        <v>920</v>
      </c>
      <c r="B103" s="323" t="s">
        <v>1015</v>
      </c>
      <c r="C103" s="322" t="s">
        <v>1083</v>
      </c>
      <c r="D103" s="353" t="s">
        <v>18</v>
      </c>
      <c r="E103" s="354">
        <v>460</v>
      </c>
      <c r="F103" s="220"/>
      <c r="G103" s="325">
        <f t="shared" si="3"/>
        <v>0</v>
      </c>
      <c r="J103" s="237"/>
    </row>
    <row r="104" spans="1:10" ht="15">
      <c r="A104" s="313" t="s">
        <v>922</v>
      </c>
      <c r="B104" s="326" t="s">
        <v>1015</v>
      </c>
      <c r="C104" s="330" t="s">
        <v>1084</v>
      </c>
      <c r="D104" s="352" t="s">
        <v>18</v>
      </c>
      <c r="E104" s="330">
        <v>50</v>
      </c>
      <c r="F104" s="225"/>
      <c r="G104" s="314">
        <f t="shared" si="3"/>
        <v>0</v>
      </c>
      <c r="J104" s="237"/>
    </row>
    <row r="105" spans="1:10" ht="15">
      <c r="A105" s="313" t="s">
        <v>924</v>
      </c>
      <c r="B105" s="350" t="s">
        <v>1015</v>
      </c>
      <c r="C105" s="330" t="s">
        <v>1085</v>
      </c>
      <c r="D105" s="352" t="s">
        <v>18</v>
      </c>
      <c r="E105" s="330">
        <v>50</v>
      </c>
      <c r="F105" s="212"/>
      <c r="G105" s="314">
        <f t="shared" si="3"/>
        <v>0</v>
      </c>
      <c r="J105" s="238"/>
    </row>
    <row r="106" spans="1:10" ht="15">
      <c r="A106" s="313" t="s">
        <v>926</v>
      </c>
      <c r="B106" s="355" t="s">
        <v>1015</v>
      </c>
      <c r="C106" s="330" t="s">
        <v>1011</v>
      </c>
      <c r="D106" s="352" t="s">
        <v>18</v>
      </c>
      <c r="E106" s="330">
        <v>120</v>
      </c>
      <c r="F106" s="212"/>
      <c r="G106" s="314">
        <f t="shared" si="3"/>
        <v>0</v>
      </c>
      <c r="J106" s="238"/>
    </row>
    <row r="107" spans="1:10" ht="15">
      <c r="A107" s="339" t="s">
        <v>928</v>
      </c>
      <c r="B107" s="355" t="s">
        <v>1015</v>
      </c>
      <c r="C107" s="330" t="s">
        <v>1086</v>
      </c>
      <c r="D107" s="352" t="s">
        <v>18</v>
      </c>
      <c r="E107" s="341">
        <v>50</v>
      </c>
      <c r="F107" s="415"/>
      <c r="G107" s="314">
        <f t="shared" si="3"/>
        <v>0</v>
      </c>
      <c r="H107" s="217"/>
      <c r="J107" s="238"/>
    </row>
    <row r="108" spans="1:10" ht="15">
      <c r="A108" s="339" t="s">
        <v>930</v>
      </c>
      <c r="B108" s="355" t="s">
        <v>1015</v>
      </c>
      <c r="C108" s="330" t="s">
        <v>1087</v>
      </c>
      <c r="D108" s="331" t="s">
        <v>18</v>
      </c>
      <c r="E108" s="341">
        <v>50</v>
      </c>
      <c r="F108" s="415"/>
      <c r="G108" s="314">
        <f t="shared" si="3"/>
        <v>0</v>
      </c>
      <c r="H108" s="210"/>
      <c r="J108" s="238"/>
    </row>
    <row r="109" spans="1:10" ht="15">
      <c r="A109" s="339" t="s">
        <v>932</v>
      </c>
      <c r="B109" s="355" t="s">
        <v>1015</v>
      </c>
      <c r="C109" s="330" t="s">
        <v>1088</v>
      </c>
      <c r="D109" s="331" t="s">
        <v>17</v>
      </c>
      <c r="E109" s="330">
        <v>12</v>
      </c>
      <c r="F109" s="212"/>
      <c r="G109" s="314">
        <f t="shared" si="3"/>
        <v>0</v>
      </c>
      <c r="H109" s="218"/>
      <c r="J109" s="238"/>
    </row>
    <row r="110" spans="1:10" ht="15">
      <c r="A110" s="354"/>
      <c r="B110" s="356"/>
      <c r="C110" s="327"/>
      <c r="D110" s="327"/>
      <c r="E110" s="327"/>
      <c r="G110" s="328"/>
      <c r="H110" s="218"/>
      <c r="J110" s="238"/>
    </row>
    <row r="111" spans="1:10" ht="15">
      <c r="A111" s="339"/>
      <c r="B111" s="355"/>
      <c r="C111" s="327"/>
      <c r="D111" s="327"/>
      <c r="E111" s="327"/>
      <c r="G111" s="329">
        <f>SUM(G89:G110)</f>
        <v>0</v>
      </c>
      <c r="H111" s="218"/>
      <c r="J111" s="238"/>
    </row>
    <row r="112" spans="1:10" ht="15">
      <c r="A112" s="327"/>
      <c r="B112" s="327"/>
      <c r="C112" s="327"/>
      <c r="D112" s="327"/>
      <c r="E112" s="327"/>
      <c r="G112" s="328"/>
      <c r="H112" s="218"/>
      <c r="J112" s="238"/>
    </row>
    <row r="113" spans="1:10" ht="15">
      <c r="A113" s="318"/>
      <c r="B113" s="344"/>
      <c r="C113" s="319" t="s">
        <v>1089</v>
      </c>
      <c r="D113" s="319"/>
      <c r="E113" s="319"/>
      <c r="F113" s="240"/>
      <c r="G113" s="321"/>
      <c r="J113" s="238"/>
    </row>
    <row r="114" spans="1:10" ht="15">
      <c r="A114" s="313"/>
      <c r="B114" s="326"/>
      <c r="C114" s="313"/>
      <c r="D114" s="313"/>
      <c r="E114" s="313"/>
      <c r="F114" s="218"/>
      <c r="G114" s="314"/>
      <c r="J114" s="238"/>
    </row>
    <row r="115" spans="1:9" ht="15">
      <c r="A115" s="313" t="s">
        <v>889</v>
      </c>
      <c r="B115" s="350" t="s">
        <v>1015</v>
      </c>
      <c r="C115" s="313" t="s">
        <v>1090</v>
      </c>
      <c r="D115" s="331" t="s">
        <v>1091</v>
      </c>
      <c r="E115" s="331">
        <v>12</v>
      </c>
      <c r="F115" s="219"/>
      <c r="G115" s="335">
        <f aca="true" t="shared" si="4" ref="G115:G123">E115*F115</f>
        <v>0</v>
      </c>
      <c r="I115" s="237"/>
    </row>
    <row r="116" spans="1:10" ht="15">
      <c r="A116" s="313" t="s">
        <v>891</v>
      </c>
      <c r="B116" s="350" t="s">
        <v>1015</v>
      </c>
      <c r="C116" s="313" t="s">
        <v>1092</v>
      </c>
      <c r="D116" s="331" t="s">
        <v>1091</v>
      </c>
      <c r="E116" s="331">
        <v>30</v>
      </c>
      <c r="F116" s="219"/>
      <c r="G116" s="335">
        <f t="shared" si="4"/>
        <v>0</v>
      </c>
      <c r="I116" s="237"/>
      <c r="J116" s="238"/>
    </row>
    <row r="117" spans="1:10" ht="15">
      <c r="A117" s="313" t="s">
        <v>896</v>
      </c>
      <c r="B117" s="350" t="s">
        <v>1015</v>
      </c>
      <c r="C117" s="313" t="s">
        <v>1093</v>
      </c>
      <c r="D117" s="331" t="s">
        <v>1091</v>
      </c>
      <c r="E117" s="331">
        <v>75</v>
      </c>
      <c r="F117" s="219"/>
      <c r="G117" s="335">
        <f t="shared" si="4"/>
        <v>0</v>
      </c>
      <c r="H117" s="230"/>
      <c r="I117" s="237"/>
      <c r="J117" s="238"/>
    </row>
    <row r="118" spans="1:9" ht="15">
      <c r="A118" s="313" t="s">
        <v>898</v>
      </c>
      <c r="B118" s="350" t="s">
        <v>1015</v>
      </c>
      <c r="C118" s="313" t="s">
        <v>1094</v>
      </c>
      <c r="D118" s="331" t="s">
        <v>1091</v>
      </c>
      <c r="E118" s="331">
        <v>8</v>
      </c>
      <c r="F118" s="219"/>
      <c r="G118" s="335">
        <f t="shared" si="4"/>
        <v>0</v>
      </c>
      <c r="I118" s="237"/>
    </row>
    <row r="119" spans="1:9" ht="15">
      <c r="A119" s="313" t="s">
        <v>900</v>
      </c>
      <c r="B119" s="350" t="s">
        <v>1015</v>
      </c>
      <c r="C119" s="337" t="s">
        <v>1095</v>
      </c>
      <c r="D119" s="331" t="s">
        <v>1091</v>
      </c>
      <c r="E119" s="331">
        <v>30</v>
      </c>
      <c r="F119" s="219"/>
      <c r="G119" s="335">
        <f t="shared" si="4"/>
        <v>0</v>
      </c>
      <c r="I119" s="237"/>
    </row>
    <row r="120" spans="1:9" ht="15">
      <c r="A120" s="313" t="s">
        <v>902</v>
      </c>
      <c r="B120" s="350" t="s">
        <v>1015</v>
      </c>
      <c r="C120" s="337" t="s">
        <v>1096</v>
      </c>
      <c r="D120" s="331" t="s">
        <v>1091</v>
      </c>
      <c r="E120" s="331">
        <v>25</v>
      </c>
      <c r="F120" s="219"/>
      <c r="G120" s="335">
        <f t="shared" si="4"/>
        <v>0</v>
      </c>
      <c r="I120" s="237"/>
    </row>
    <row r="121" spans="1:9" ht="15">
      <c r="A121" s="313" t="s">
        <v>904</v>
      </c>
      <c r="B121" s="350" t="s">
        <v>1015</v>
      </c>
      <c r="C121" s="313" t="s">
        <v>1097</v>
      </c>
      <c r="D121" s="331" t="s">
        <v>1091</v>
      </c>
      <c r="E121" s="331">
        <v>16</v>
      </c>
      <c r="F121" s="219"/>
      <c r="G121" s="335">
        <f t="shared" si="4"/>
        <v>0</v>
      </c>
      <c r="H121" s="230"/>
      <c r="I121" s="237"/>
    </row>
    <row r="122" spans="1:10" ht="15">
      <c r="A122" s="313" t="s">
        <v>906</v>
      </c>
      <c r="B122" s="350" t="s">
        <v>1015</v>
      </c>
      <c r="C122" s="313" t="s">
        <v>1098</v>
      </c>
      <c r="D122" s="331" t="s">
        <v>1091</v>
      </c>
      <c r="E122" s="331">
        <v>8</v>
      </c>
      <c r="F122" s="219"/>
      <c r="G122" s="335">
        <f t="shared" si="4"/>
        <v>0</v>
      </c>
      <c r="I122" s="237"/>
      <c r="J122" s="210"/>
    </row>
    <row r="123" spans="1:10" ht="15">
      <c r="A123" s="313" t="s">
        <v>908</v>
      </c>
      <c r="B123" s="350" t="s">
        <v>1015</v>
      </c>
      <c r="C123" s="337" t="s">
        <v>1099</v>
      </c>
      <c r="D123" s="331" t="s">
        <v>1100</v>
      </c>
      <c r="E123" s="331">
        <v>2</v>
      </c>
      <c r="F123" s="219"/>
      <c r="G123" s="335">
        <f t="shared" si="4"/>
        <v>0</v>
      </c>
      <c r="I123" s="237"/>
      <c r="J123" s="210"/>
    </row>
    <row r="124" spans="1:10" ht="15">
      <c r="A124" s="313"/>
      <c r="B124" s="350"/>
      <c r="C124" s="337"/>
      <c r="D124" s="331"/>
      <c r="E124" s="331"/>
      <c r="F124" s="335"/>
      <c r="G124" s="335"/>
      <c r="I124" s="237"/>
      <c r="J124" s="210"/>
    </row>
    <row r="125" spans="1:10" ht="15">
      <c r="A125" s="313"/>
      <c r="B125" s="326"/>
      <c r="C125" s="337"/>
      <c r="D125" s="337"/>
      <c r="E125" s="337"/>
      <c r="F125" s="338"/>
      <c r="G125" s="329">
        <f>SUM(G115:G124)</f>
        <v>0</v>
      </c>
      <c r="I125" s="237"/>
      <c r="J125" s="210"/>
    </row>
    <row r="126" spans="1:10" ht="15">
      <c r="A126" s="337"/>
      <c r="B126" s="342"/>
      <c r="C126" s="337"/>
      <c r="D126" s="337"/>
      <c r="E126" s="337"/>
      <c r="F126" s="338"/>
      <c r="G126" s="338"/>
      <c r="I126" s="237"/>
      <c r="J126" s="210"/>
    </row>
    <row r="127" spans="1:10" ht="15">
      <c r="A127" s="357"/>
      <c r="B127" s="358"/>
      <c r="C127" s="359"/>
      <c r="D127" s="359"/>
      <c r="E127" s="359"/>
      <c r="F127" s="360"/>
      <c r="G127" s="361"/>
      <c r="I127" s="237"/>
      <c r="J127" s="210"/>
    </row>
    <row r="128" spans="1:10" ht="15">
      <c r="A128" s="362"/>
      <c r="B128" s="363"/>
      <c r="C128" s="364" t="s">
        <v>1101</v>
      </c>
      <c r="D128" s="364"/>
      <c r="E128" s="364"/>
      <c r="F128" s="365"/>
      <c r="G128" s="366">
        <f>SUM(G125+G111+G85+G70+G54+G48+G9)</f>
        <v>0</v>
      </c>
      <c r="I128" s="237"/>
      <c r="J128" s="210"/>
    </row>
    <row r="129" spans="1:9" ht="15">
      <c r="A129" s="367"/>
      <c r="B129" s="368"/>
      <c r="C129" s="369"/>
      <c r="D129" s="369"/>
      <c r="E129" s="369"/>
      <c r="F129" s="370"/>
      <c r="G129" s="371"/>
      <c r="I129" s="237"/>
    </row>
    <row r="130" spans="1:9" ht="15">
      <c r="A130" s="327"/>
      <c r="B130" s="327"/>
      <c r="C130" s="327"/>
      <c r="D130" s="327"/>
      <c r="E130" s="327"/>
      <c r="F130" s="328"/>
      <c r="G130" s="328"/>
      <c r="I130" s="237"/>
    </row>
    <row r="131" spans="1:7" ht="15">
      <c r="A131" s="327"/>
      <c r="B131" s="327"/>
      <c r="C131" s="327"/>
      <c r="D131" s="327"/>
      <c r="E131" s="327"/>
      <c r="F131" s="328"/>
      <c r="G131" s="328"/>
    </row>
    <row r="132" spans="1:7" ht="15">
      <c r="A132" s="327"/>
      <c r="B132" s="327"/>
      <c r="C132" s="327" t="s">
        <v>1102</v>
      </c>
      <c r="D132" s="327"/>
      <c r="E132" s="327"/>
      <c r="F132" s="328"/>
      <c r="G132" s="328"/>
    </row>
    <row r="133" spans="1:7" ht="15">
      <c r="A133" s="327"/>
      <c r="B133" s="327"/>
      <c r="C133" s="327"/>
      <c r="D133" s="327"/>
      <c r="E133" s="327"/>
      <c r="F133" s="328"/>
      <c r="G133" s="328"/>
    </row>
    <row r="134" spans="1:7" ht="15">
      <c r="A134" s="327"/>
      <c r="B134" s="327"/>
      <c r="C134" s="327"/>
      <c r="D134" s="327"/>
      <c r="E134" s="327"/>
      <c r="F134" s="328"/>
      <c r="G134" s="328"/>
    </row>
    <row r="135" spans="1:7" ht="15">
      <c r="A135" s="372"/>
      <c r="B135" s="373"/>
      <c r="C135" s="373" t="s">
        <v>883</v>
      </c>
      <c r="D135" s="373"/>
      <c r="E135" s="374"/>
      <c r="F135" s="375"/>
      <c r="G135" s="376"/>
    </row>
    <row r="136" spans="1:7" ht="15">
      <c r="A136" s="377"/>
      <c r="B136" s="377"/>
      <c r="C136" s="377"/>
      <c r="D136" s="377"/>
      <c r="E136" s="337"/>
      <c r="F136" s="338"/>
      <c r="G136" s="338"/>
    </row>
    <row r="137" spans="1:10" ht="15">
      <c r="A137" s="315" t="s">
        <v>884</v>
      </c>
      <c r="B137" s="315" t="s">
        <v>885</v>
      </c>
      <c r="C137" s="315" t="s">
        <v>3</v>
      </c>
      <c r="D137" s="316" t="s">
        <v>4</v>
      </c>
      <c r="E137" s="316" t="s">
        <v>886</v>
      </c>
      <c r="F137" s="317" t="s">
        <v>887</v>
      </c>
      <c r="G137" s="317" t="s">
        <v>7</v>
      </c>
      <c r="I137" s="210"/>
      <c r="J137" s="210"/>
    </row>
    <row r="138" spans="1:10" ht="15">
      <c r="A138" s="378"/>
      <c r="B138" s="379"/>
      <c r="C138" s="379" t="s">
        <v>888</v>
      </c>
      <c r="D138" s="380"/>
      <c r="E138" s="379"/>
      <c r="F138" s="381"/>
      <c r="G138" s="382"/>
      <c r="H138" s="214"/>
      <c r="I138" s="210"/>
      <c r="J138" s="210"/>
    </row>
    <row r="139" spans="1:10" ht="15">
      <c r="A139" s="383"/>
      <c r="B139" s="383"/>
      <c r="C139" s="337"/>
      <c r="D139" s="316"/>
      <c r="E139" s="337"/>
      <c r="F139" s="338"/>
      <c r="G139" s="338"/>
      <c r="H139" s="214"/>
      <c r="I139" s="210"/>
      <c r="J139" s="210"/>
    </row>
    <row r="140" spans="1:10" ht="25.05" customHeight="1">
      <c r="A140" s="383" t="s">
        <v>889</v>
      </c>
      <c r="B140" s="384" t="s">
        <v>847</v>
      </c>
      <c r="C140" s="322" t="s">
        <v>890</v>
      </c>
      <c r="D140" s="324" t="s">
        <v>544</v>
      </c>
      <c r="E140" s="383">
        <v>1</v>
      </c>
      <c r="F140" s="215"/>
      <c r="G140" s="349">
        <f>(E140*F140)</f>
        <v>0</v>
      </c>
      <c r="H140" s="215"/>
      <c r="I140" s="210"/>
      <c r="J140" s="210"/>
    </row>
    <row r="141" spans="1:10" ht="25.05" customHeight="1">
      <c r="A141" s="383" t="s">
        <v>891</v>
      </c>
      <c r="B141" s="384" t="s">
        <v>847</v>
      </c>
      <c r="C141" s="322" t="s">
        <v>892</v>
      </c>
      <c r="D141" s="324" t="s">
        <v>544</v>
      </c>
      <c r="E141" s="383">
        <v>1</v>
      </c>
      <c r="F141" s="215"/>
      <c r="G141" s="349">
        <f>(E141*F141)</f>
        <v>0</v>
      </c>
      <c r="H141" s="215"/>
      <c r="I141" s="210"/>
      <c r="J141" s="210"/>
    </row>
    <row r="142" spans="1:10" ht="15">
      <c r="A142" s="322"/>
      <c r="B142" s="323"/>
      <c r="C142" s="322"/>
      <c r="D142" s="324"/>
      <c r="E142" s="383"/>
      <c r="F142" s="215"/>
      <c r="G142" s="349"/>
      <c r="I142" s="210"/>
      <c r="J142" s="210"/>
    </row>
    <row r="143" spans="1:10" ht="15">
      <c r="A143" s="322"/>
      <c r="B143" s="323"/>
      <c r="C143" s="322"/>
      <c r="D143" s="324"/>
      <c r="E143" s="383"/>
      <c r="F143" s="215"/>
      <c r="G143" s="385">
        <f>SUM(G140:G142)</f>
        <v>0</v>
      </c>
      <c r="J143" s="210"/>
    </row>
    <row r="144" spans="1:10" ht="15">
      <c r="A144" s="383"/>
      <c r="B144" s="384"/>
      <c r="C144" s="322"/>
      <c r="D144" s="324"/>
      <c r="E144" s="383"/>
      <c r="F144" s="215"/>
      <c r="G144" s="328"/>
      <c r="J144" s="210"/>
    </row>
    <row r="145" spans="1:10" ht="15">
      <c r="A145" s="378"/>
      <c r="B145" s="379"/>
      <c r="C145" s="379" t="s">
        <v>893</v>
      </c>
      <c r="D145" s="380"/>
      <c r="E145" s="379"/>
      <c r="F145" s="213"/>
      <c r="G145" s="382"/>
      <c r="J145" s="210"/>
    </row>
    <row r="146" spans="1:10" ht="15">
      <c r="A146" s="383"/>
      <c r="B146" s="383"/>
      <c r="C146" s="383"/>
      <c r="D146" s="348"/>
      <c r="E146" s="383"/>
      <c r="F146" s="215"/>
      <c r="G146" s="349"/>
      <c r="H146" s="215"/>
      <c r="J146" s="210"/>
    </row>
    <row r="147" spans="1:10" ht="15">
      <c r="A147" s="313" t="s">
        <v>889</v>
      </c>
      <c r="B147" s="326" t="s">
        <v>847</v>
      </c>
      <c r="C147" s="313" t="s">
        <v>894</v>
      </c>
      <c r="D147" s="316" t="s">
        <v>544</v>
      </c>
      <c r="E147" s="313">
        <v>17</v>
      </c>
      <c r="F147" s="218"/>
      <c r="G147" s="314">
        <f aca="true" t="shared" si="5" ref="G147:G185">E147*F147</f>
        <v>0</v>
      </c>
      <c r="J147" s="210"/>
    </row>
    <row r="148" spans="1:10" ht="15">
      <c r="A148" s="313" t="s">
        <v>891</v>
      </c>
      <c r="B148" s="326" t="s">
        <v>847</v>
      </c>
      <c r="C148" s="313" t="s">
        <v>895</v>
      </c>
      <c r="D148" s="316" t="s">
        <v>544</v>
      </c>
      <c r="E148" s="313">
        <v>8</v>
      </c>
      <c r="F148" s="218"/>
      <c r="G148" s="314">
        <f t="shared" si="5"/>
        <v>0</v>
      </c>
      <c r="J148" s="210"/>
    </row>
    <row r="149" spans="1:10" ht="15">
      <c r="A149" s="313" t="s">
        <v>896</v>
      </c>
      <c r="B149" s="326" t="s">
        <v>847</v>
      </c>
      <c r="C149" s="313" t="s">
        <v>897</v>
      </c>
      <c r="D149" s="316" t="s">
        <v>544</v>
      </c>
      <c r="E149" s="313">
        <v>20</v>
      </c>
      <c r="F149" s="218"/>
      <c r="G149" s="314">
        <f t="shared" si="5"/>
        <v>0</v>
      </c>
      <c r="H149" s="216"/>
      <c r="J149" s="210"/>
    </row>
    <row r="150" spans="1:10" ht="15">
      <c r="A150" s="313" t="s">
        <v>898</v>
      </c>
      <c r="B150" s="326" t="s">
        <v>847</v>
      </c>
      <c r="C150" s="313" t="s">
        <v>899</v>
      </c>
      <c r="D150" s="316" t="s">
        <v>544</v>
      </c>
      <c r="E150" s="313">
        <v>8</v>
      </c>
      <c r="F150" s="218"/>
      <c r="G150" s="314">
        <f t="shared" si="5"/>
        <v>0</v>
      </c>
      <c r="H150" s="216"/>
      <c r="J150" s="210"/>
    </row>
    <row r="151" spans="1:10" ht="15">
      <c r="A151" s="313" t="s">
        <v>900</v>
      </c>
      <c r="B151" s="326" t="s">
        <v>847</v>
      </c>
      <c r="C151" s="313" t="s">
        <v>901</v>
      </c>
      <c r="D151" s="316" t="s">
        <v>544</v>
      </c>
      <c r="E151" s="313">
        <v>8</v>
      </c>
      <c r="F151" s="218"/>
      <c r="G151" s="314">
        <f t="shared" si="5"/>
        <v>0</v>
      </c>
      <c r="H151" s="216"/>
      <c r="J151" s="210"/>
    </row>
    <row r="152" spans="1:10" ht="15">
      <c r="A152" s="313" t="s">
        <v>902</v>
      </c>
      <c r="B152" s="326" t="s">
        <v>847</v>
      </c>
      <c r="C152" s="313" t="s">
        <v>903</v>
      </c>
      <c r="D152" s="316" t="s">
        <v>544</v>
      </c>
      <c r="E152" s="313">
        <v>16</v>
      </c>
      <c r="F152" s="218"/>
      <c r="G152" s="314">
        <f t="shared" si="5"/>
        <v>0</v>
      </c>
      <c r="J152" s="210"/>
    </row>
    <row r="153" spans="1:10" ht="15">
      <c r="A153" s="313" t="s">
        <v>904</v>
      </c>
      <c r="B153" s="326" t="s">
        <v>847</v>
      </c>
      <c r="C153" s="313" t="s">
        <v>905</v>
      </c>
      <c r="D153" s="316" t="s">
        <v>544</v>
      </c>
      <c r="E153" s="313">
        <v>4</v>
      </c>
      <c r="F153" s="218"/>
      <c r="G153" s="314">
        <f t="shared" si="5"/>
        <v>0</v>
      </c>
      <c r="J153" s="210"/>
    </row>
    <row r="154" spans="1:10" ht="15">
      <c r="A154" s="322" t="s">
        <v>906</v>
      </c>
      <c r="B154" s="323" t="s">
        <v>847</v>
      </c>
      <c r="C154" s="313" t="s">
        <v>907</v>
      </c>
      <c r="D154" s="316" t="s">
        <v>544</v>
      </c>
      <c r="E154" s="313">
        <v>59</v>
      </c>
      <c r="F154" s="219"/>
      <c r="G154" s="314">
        <f t="shared" si="5"/>
        <v>0</v>
      </c>
      <c r="H154" s="210"/>
      <c r="J154" s="210"/>
    </row>
    <row r="155" spans="1:10" ht="15">
      <c r="A155" s="313" t="s">
        <v>908</v>
      </c>
      <c r="B155" s="326" t="s">
        <v>847</v>
      </c>
      <c r="C155" s="313" t="s">
        <v>909</v>
      </c>
      <c r="D155" s="316" t="s">
        <v>544</v>
      </c>
      <c r="E155" s="313">
        <v>15</v>
      </c>
      <c r="F155" s="219"/>
      <c r="G155" s="314">
        <f t="shared" si="5"/>
        <v>0</v>
      </c>
      <c r="H155" s="210"/>
      <c r="J155" s="210"/>
    </row>
    <row r="156" spans="1:10" ht="15">
      <c r="A156" s="313" t="s">
        <v>910</v>
      </c>
      <c r="B156" s="326" t="s">
        <v>847</v>
      </c>
      <c r="C156" s="313" t="s">
        <v>911</v>
      </c>
      <c r="D156" s="316" t="s">
        <v>544</v>
      </c>
      <c r="E156" s="313">
        <v>9</v>
      </c>
      <c r="F156" s="219"/>
      <c r="G156" s="314">
        <f t="shared" si="5"/>
        <v>0</v>
      </c>
      <c r="H156" s="210"/>
      <c r="J156" s="210"/>
    </row>
    <row r="157" spans="1:10" ht="15">
      <c r="A157" s="313" t="s">
        <v>912</v>
      </c>
      <c r="B157" s="326" t="s">
        <v>847</v>
      </c>
      <c r="C157" s="337" t="s">
        <v>913</v>
      </c>
      <c r="D157" s="316" t="s">
        <v>544</v>
      </c>
      <c r="E157" s="337">
        <v>16</v>
      </c>
      <c r="F157" s="211"/>
      <c r="G157" s="314">
        <f t="shared" si="5"/>
        <v>0</v>
      </c>
      <c r="H157" s="210"/>
      <c r="J157" s="210"/>
    </row>
    <row r="158" spans="1:10" ht="20.4">
      <c r="A158" s="322" t="s">
        <v>914</v>
      </c>
      <c r="B158" s="323" t="s">
        <v>847</v>
      </c>
      <c r="C158" s="354" t="s">
        <v>915</v>
      </c>
      <c r="D158" s="348" t="s">
        <v>544</v>
      </c>
      <c r="E158" s="354">
        <v>1</v>
      </c>
      <c r="F158" s="220"/>
      <c r="G158" s="325">
        <f t="shared" si="5"/>
        <v>0</v>
      </c>
      <c r="H158" s="210"/>
      <c r="J158" s="210"/>
    </row>
    <row r="159" spans="1:10" ht="15">
      <c r="A159" s="313" t="s">
        <v>916</v>
      </c>
      <c r="B159" s="326" t="s">
        <v>847</v>
      </c>
      <c r="C159" s="313" t="s">
        <v>917</v>
      </c>
      <c r="D159" s="316" t="s">
        <v>544</v>
      </c>
      <c r="E159" s="313">
        <v>198</v>
      </c>
      <c r="F159" s="219"/>
      <c r="G159" s="314">
        <f t="shared" si="5"/>
        <v>0</v>
      </c>
      <c r="H159" s="211"/>
      <c r="J159" s="210"/>
    </row>
    <row r="160" spans="1:10" ht="15">
      <c r="A160" s="322" t="s">
        <v>918</v>
      </c>
      <c r="B160" s="323" t="s">
        <v>847</v>
      </c>
      <c r="C160" s="313" t="s">
        <v>919</v>
      </c>
      <c r="D160" s="316" t="s">
        <v>544</v>
      </c>
      <c r="E160" s="313">
        <v>84</v>
      </c>
      <c r="F160" s="219"/>
      <c r="G160" s="314">
        <f t="shared" si="5"/>
        <v>0</v>
      </c>
      <c r="H160" s="211"/>
      <c r="J160" s="210"/>
    </row>
    <row r="161" spans="1:10" ht="15">
      <c r="A161" s="322" t="s">
        <v>920</v>
      </c>
      <c r="B161" s="323" t="s">
        <v>847</v>
      </c>
      <c r="C161" s="313" t="s">
        <v>921</v>
      </c>
      <c r="D161" s="316" t="s">
        <v>544</v>
      </c>
      <c r="E161" s="313">
        <v>32</v>
      </c>
      <c r="F161" s="219"/>
      <c r="G161" s="314">
        <f t="shared" si="5"/>
        <v>0</v>
      </c>
      <c r="H161" s="210"/>
      <c r="J161" s="210"/>
    </row>
    <row r="162" spans="1:10" ht="15">
      <c r="A162" s="322" t="s">
        <v>922</v>
      </c>
      <c r="B162" s="323" t="s">
        <v>847</v>
      </c>
      <c r="C162" s="313" t="s">
        <v>923</v>
      </c>
      <c r="D162" s="316" t="s">
        <v>544</v>
      </c>
      <c r="E162" s="313">
        <v>8</v>
      </c>
      <c r="F162" s="219"/>
      <c r="G162" s="314">
        <f t="shared" si="5"/>
        <v>0</v>
      </c>
      <c r="H162" s="210"/>
      <c r="J162" s="210"/>
    </row>
    <row r="163" spans="1:10" ht="15">
      <c r="A163" s="313" t="s">
        <v>924</v>
      </c>
      <c r="B163" s="326" t="s">
        <v>847</v>
      </c>
      <c r="C163" s="313" t="s">
        <v>925</v>
      </c>
      <c r="D163" s="316" t="s">
        <v>544</v>
      </c>
      <c r="E163" s="313">
        <v>22</v>
      </c>
      <c r="F163" s="218"/>
      <c r="G163" s="314">
        <f t="shared" si="5"/>
        <v>0</v>
      </c>
      <c r="H163" s="211"/>
      <c r="J163" s="210"/>
    </row>
    <row r="164" spans="1:10" ht="15">
      <c r="A164" s="313" t="s">
        <v>926</v>
      </c>
      <c r="B164" s="326" t="s">
        <v>847</v>
      </c>
      <c r="C164" s="313" t="s">
        <v>927</v>
      </c>
      <c r="D164" s="316" t="s">
        <v>544</v>
      </c>
      <c r="E164" s="313">
        <v>9</v>
      </c>
      <c r="F164" s="218"/>
      <c r="G164" s="314">
        <f t="shared" si="5"/>
        <v>0</v>
      </c>
      <c r="H164" s="210"/>
      <c r="J164" s="210"/>
    </row>
    <row r="165" spans="1:10" ht="15">
      <c r="A165" s="313" t="s">
        <v>928</v>
      </c>
      <c r="B165" s="326" t="s">
        <v>847</v>
      </c>
      <c r="C165" s="313" t="s">
        <v>929</v>
      </c>
      <c r="D165" s="316" t="s">
        <v>74</v>
      </c>
      <c r="E165" s="313">
        <v>15</v>
      </c>
      <c r="F165" s="218"/>
      <c r="G165" s="314">
        <f t="shared" si="5"/>
        <v>0</v>
      </c>
      <c r="H165" s="222"/>
      <c r="I165" s="210"/>
      <c r="J165" s="210"/>
    </row>
    <row r="166" spans="1:10" ht="15">
      <c r="A166" s="313" t="s">
        <v>930</v>
      </c>
      <c r="B166" s="326" t="s">
        <v>847</v>
      </c>
      <c r="C166" s="313" t="s">
        <v>931</v>
      </c>
      <c r="D166" s="316" t="s">
        <v>74</v>
      </c>
      <c r="E166" s="339">
        <v>20</v>
      </c>
      <c r="F166" s="218"/>
      <c r="G166" s="314">
        <f t="shared" si="5"/>
        <v>0</v>
      </c>
      <c r="H166" s="223"/>
      <c r="I166" s="210"/>
      <c r="J166" s="210"/>
    </row>
    <row r="167" spans="1:10" ht="15">
      <c r="A167" s="313" t="s">
        <v>932</v>
      </c>
      <c r="B167" s="326" t="s">
        <v>847</v>
      </c>
      <c r="C167" s="313" t="s">
        <v>933</v>
      </c>
      <c r="D167" s="316" t="s">
        <v>74</v>
      </c>
      <c r="E167" s="339">
        <v>10</v>
      </c>
      <c r="F167" s="218"/>
      <c r="G167" s="314">
        <f t="shared" si="5"/>
        <v>0</v>
      </c>
      <c r="H167" s="223"/>
      <c r="I167" s="210"/>
      <c r="J167" s="210"/>
    </row>
    <row r="168" spans="1:10" ht="15">
      <c r="A168" s="313" t="s">
        <v>934</v>
      </c>
      <c r="B168" s="326" t="s">
        <v>847</v>
      </c>
      <c r="C168" s="313" t="s">
        <v>935</v>
      </c>
      <c r="D168" s="316" t="s">
        <v>74</v>
      </c>
      <c r="E168" s="313">
        <v>15</v>
      </c>
      <c r="F168" s="218"/>
      <c r="G168" s="314">
        <f t="shared" si="5"/>
        <v>0</v>
      </c>
      <c r="H168" s="224"/>
      <c r="J168" s="210"/>
    </row>
    <row r="169" spans="1:10" ht="15">
      <c r="A169" s="313" t="s">
        <v>936</v>
      </c>
      <c r="B169" s="326" t="s">
        <v>847</v>
      </c>
      <c r="C169" s="313" t="s">
        <v>937</v>
      </c>
      <c r="D169" s="316" t="s">
        <v>74</v>
      </c>
      <c r="E169" s="313">
        <v>10</v>
      </c>
      <c r="F169" s="218"/>
      <c r="G169" s="314">
        <f t="shared" si="5"/>
        <v>0</v>
      </c>
      <c r="H169" s="224"/>
      <c r="J169" s="210"/>
    </row>
    <row r="170" spans="1:10" ht="15">
      <c r="A170" s="313" t="s">
        <v>938</v>
      </c>
      <c r="B170" s="326" t="s">
        <v>847</v>
      </c>
      <c r="C170" s="330" t="s">
        <v>939</v>
      </c>
      <c r="D170" s="316" t="s">
        <v>544</v>
      </c>
      <c r="E170" s="313">
        <v>140</v>
      </c>
      <c r="F170" s="225"/>
      <c r="G170" s="314">
        <f t="shared" si="5"/>
        <v>0</v>
      </c>
      <c r="H170" s="210"/>
      <c r="J170" s="210"/>
    </row>
    <row r="171" spans="1:10" ht="15">
      <c r="A171" s="313" t="s">
        <v>940</v>
      </c>
      <c r="B171" s="326" t="s">
        <v>847</v>
      </c>
      <c r="C171" s="313" t="s">
        <v>941</v>
      </c>
      <c r="D171" s="316" t="s">
        <v>544</v>
      </c>
      <c r="E171" s="330">
        <v>1210</v>
      </c>
      <c r="F171" s="225"/>
      <c r="G171" s="314">
        <f t="shared" si="5"/>
        <v>0</v>
      </c>
      <c r="H171" s="210"/>
      <c r="J171" s="210"/>
    </row>
    <row r="172" spans="1:10" ht="15">
      <c r="A172" s="330" t="s">
        <v>942</v>
      </c>
      <c r="B172" s="326" t="s">
        <v>847</v>
      </c>
      <c r="C172" s="313" t="s">
        <v>943</v>
      </c>
      <c r="D172" s="316" t="s">
        <v>544</v>
      </c>
      <c r="E172" s="330">
        <v>1210</v>
      </c>
      <c r="F172" s="225"/>
      <c r="G172" s="314">
        <f t="shared" si="5"/>
        <v>0</v>
      </c>
      <c r="H172" s="210"/>
      <c r="J172" s="210"/>
    </row>
    <row r="173" spans="1:8" ht="15">
      <c r="A173" s="330" t="s">
        <v>944</v>
      </c>
      <c r="B173" s="326" t="s">
        <v>847</v>
      </c>
      <c r="C173" s="330" t="s">
        <v>945</v>
      </c>
      <c r="D173" s="316" t="s">
        <v>544</v>
      </c>
      <c r="E173" s="330">
        <v>12</v>
      </c>
      <c r="F173" s="225"/>
      <c r="G173" s="314">
        <f t="shared" si="5"/>
        <v>0</v>
      </c>
      <c r="H173" s="210"/>
    </row>
    <row r="174" spans="1:10" ht="15">
      <c r="A174" s="330" t="s">
        <v>946</v>
      </c>
      <c r="B174" s="326" t="s">
        <v>847</v>
      </c>
      <c r="C174" s="313" t="s">
        <v>947</v>
      </c>
      <c r="D174" s="316" t="s">
        <v>544</v>
      </c>
      <c r="E174" s="330">
        <v>740</v>
      </c>
      <c r="F174" s="225"/>
      <c r="G174" s="314">
        <f t="shared" si="5"/>
        <v>0</v>
      </c>
      <c r="H174" s="210"/>
      <c r="J174" s="210"/>
    </row>
    <row r="175" spans="1:10" ht="15">
      <c r="A175" s="330" t="s">
        <v>948</v>
      </c>
      <c r="B175" s="326" t="s">
        <v>847</v>
      </c>
      <c r="C175" s="313" t="s">
        <v>949</v>
      </c>
      <c r="D175" s="316" t="s">
        <v>544</v>
      </c>
      <c r="E175" s="330">
        <v>28</v>
      </c>
      <c r="F175" s="225"/>
      <c r="G175" s="314">
        <f t="shared" si="5"/>
        <v>0</v>
      </c>
      <c r="H175" s="210"/>
      <c r="J175" s="210"/>
    </row>
    <row r="176" spans="1:10" ht="15">
      <c r="A176" s="330" t="s">
        <v>950</v>
      </c>
      <c r="B176" s="326" t="s">
        <v>847</v>
      </c>
      <c r="C176" s="313" t="s">
        <v>951</v>
      </c>
      <c r="D176" s="316" t="s">
        <v>544</v>
      </c>
      <c r="E176" s="330">
        <v>28</v>
      </c>
      <c r="F176" s="225"/>
      <c r="G176" s="314">
        <f t="shared" si="5"/>
        <v>0</v>
      </c>
      <c r="J176" s="210"/>
    </row>
    <row r="177" spans="1:10" ht="15">
      <c r="A177" s="330" t="s">
        <v>952</v>
      </c>
      <c r="B177" s="326" t="s">
        <v>847</v>
      </c>
      <c r="C177" s="340" t="s">
        <v>953</v>
      </c>
      <c r="D177" s="316" t="s">
        <v>544</v>
      </c>
      <c r="E177" s="341">
        <v>8</v>
      </c>
      <c r="F177" s="225"/>
      <c r="G177" s="314">
        <f t="shared" si="5"/>
        <v>0</v>
      </c>
      <c r="J177" s="210"/>
    </row>
    <row r="178" spans="1:10" ht="15">
      <c r="A178" s="330" t="s">
        <v>954</v>
      </c>
      <c r="B178" s="326" t="s">
        <v>847</v>
      </c>
      <c r="C178" s="313" t="s">
        <v>955</v>
      </c>
      <c r="D178" s="316" t="s">
        <v>18</v>
      </c>
      <c r="E178" s="330">
        <v>0.8</v>
      </c>
      <c r="F178" s="225"/>
      <c r="G178" s="314">
        <f t="shared" si="5"/>
        <v>0</v>
      </c>
      <c r="H178" s="226"/>
      <c r="J178" s="210"/>
    </row>
    <row r="179" spans="1:10" ht="15">
      <c r="A179" s="330" t="s">
        <v>956</v>
      </c>
      <c r="B179" s="326" t="s">
        <v>847</v>
      </c>
      <c r="C179" s="313" t="s">
        <v>957</v>
      </c>
      <c r="D179" s="316" t="s">
        <v>544</v>
      </c>
      <c r="E179" s="313">
        <v>6</v>
      </c>
      <c r="F179" s="218"/>
      <c r="G179" s="314">
        <f t="shared" si="5"/>
        <v>0</v>
      </c>
      <c r="H179" s="226"/>
      <c r="J179" s="210"/>
    </row>
    <row r="180" spans="1:8" ht="15">
      <c r="A180" s="313" t="s">
        <v>958</v>
      </c>
      <c r="B180" s="326" t="s">
        <v>847</v>
      </c>
      <c r="C180" s="313" t="s">
        <v>959</v>
      </c>
      <c r="D180" s="316" t="s">
        <v>544</v>
      </c>
      <c r="E180" s="313">
        <v>220</v>
      </c>
      <c r="F180" s="218"/>
      <c r="G180" s="314">
        <f t="shared" si="5"/>
        <v>0</v>
      </c>
      <c r="H180" s="227"/>
    </row>
    <row r="181" spans="1:8" ht="15">
      <c r="A181" s="313" t="s">
        <v>960</v>
      </c>
      <c r="B181" s="326" t="s">
        <v>847</v>
      </c>
      <c r="C181" s="313" t="s">
        <v>961</v>
      </c>
      <c r="D181" s="316" t="s">
        <v>544</v>
      </c>
      <c r="E181" s="313">
        <v>270</v>
      </c>
      <c r="F181" s="225"/>
      <c r="G181" s="314">
        <f t="shared" si="5"/>
        <v>0</v>
      </c>
      <c r="H181" s="227"/>
    </row>
    <row r="182" spans="1:8" ht="15">
      <c r="A182" s="313" t="s">
        <v>962</v>
      </c>
      <c r="B182" s="326" t="s">
        <v>847</v>
      </c>
      <c r="C182" s="337" t="s">
        <v>963</v>
      </c>
      <c r="D182" s="316" t="s">
        <v>544</v>
      </c>
      <c r="E182" s="313">
        <v>150</v>
      </c>
      <c r="F182" s="218"/>
      <c r="G182" s="314">
        <f t="shared" si="5"/>
        <v>0</v>
      </c>
      <c r="H182" s="226"/>
    </row>
    <row r="183" spans="1:8" ht="15">
      <c r="A183" s="313" t="s">
        <v>964</v>
      </c>
      <c r="B183" s="326" t="s">
        <v>847</v>
      </c>
      <c r="C183" s="339" t="s">
        <v>965</v>
      </c>
      <c r="D183" s="352" t="s">
        <v>353</v>
      </c>
      <c r="E183" s="386">
        <v>12</v>
      </c>
      <c r="F183" s="228"/>
      <c r="G183" s="314">
        <f t="shared" si="5"/>
        <v>0</v>
      </c>
      <c r="H183" s="226"/>
    </row>
    <row r="184" spans="1:10" ht="15">
      <c r="A184" s="339" t="s">
        <v>966</v>
      </c>
      <c r="B184" s="355" t="s">
        <v>847</v>
      </c>
      <c r="C184" s="339" t="s">
        <v>967</v>
      </c>
      <c r="D184" s="352" t="s">
        <v>544</v>
      </c>
      <c r="E184" s="386">
        <v>6</v>
      </c>
      <c r="F184" s="228"/>
      <c r="G184" s="314">
        <f t="shared" si="5"/>
        <v>0</v>
      </c>
      <c r="H184" s="226"/>
      <c r="J184" s="210"/>
    </row>
    <row r="185" spans="1:9" ht="15">
      <c r="A185" s="339" t="s">
        <v>968</v>
      </c>
      <c r="B185" s="355" t="s">
        <v>847</v>
      </c>
      <c r="C185" s="330" t="s">
        <v>969</v>
      </c>
      <c r="D185" s="316" t="s">
        <v>353</v>
      </c>
      <c r="E185" s="313">
        <v>210</v>
      </c>
      <c r="F185" s="218"/>
      <c r="G185" s="314">
        <f t="shared" si="5"/>
        <v>0</v>
      </c>
      <c r="H185" s="226"/>
      <c r="I185" s="210"/>
    </row>
    <row r="186" spans="1:9" ht="15">
      <c r="A186" s="327"/>
      <c r="B186" s="327"/>
      <c r="C186" s="327"/>
      <c r="D186" s="327"/>
      <c r="E186" s="327"/>
      <c r="G186" s="328"/>
      <c r="H186" s="226"/>
      <c r="I186" s="210"/>
    </row>
    <row r="187" spans="1:8" ht="15">
      <c r="A187" s="383"/>
      <c r="B187" s="323"/>
      <c r="C187" s="327"/>
      <c r="D187" s="327"/>
      <c r="E187" s="327"/>
      <c r="G187" s="329">
        <f>SUM(G147:G186)</f>
        <v>0</v>
      </c>
      <c r="H187" s="226"/>
    </row>
    <row r="188" spans="1:10" ht="15">
      <c r="A188" s="330"/>
      <c r="B188" s="326"/>
      <c r="C188" s="327"/>
      <c r="D188" s="327"/>
      <c r="E188" s="327"/>
      <c r="G188" s="328"/>
      <c r="H188" s="226"/>
      <c r="J188" s="210"/>
    </row>
    <row r="189" spans="1:10" ht="15">
      <c r="A189" s="332"/>
      <c r="B189" s="333"/>
      <c r="C189" s="319" t="s">
        <v>970</v>
      </c>
      <c r="D189" s="387"/>
      <c r="E189" s="333"/>
      <c r="F189" s="229"/>
      <c r="G189" s="334"/>
      <c r="H189" s="226"/>
      <c r="J189" s="210"/>
    </row>
    <row r="190" spans="1:10" ht="15">
      <c r="A190" s="322"/>
      <c r="B190" s="322"/>
      <c r="C190" s="388"/>
      <c r="D190" s="389"/>
      <c r="E190" s="322"/>
      <c r="F190" s="221"/>
      <c r="G190" s="325"/>
      <c r="H190" s="226"/>
      <c r="J190" s="210"/>
    </row>
    <row r="191" spans="1:10" ht="20.4">
      <c r="A191" s="390" t="s">
        <v>889</v>
      </c>
      <c r="B191" s="323" t="s">
        <v>847</v>
      </c>
      <c r="C191" s="322" t="s">
        <v>971</v>
      </c>
      <c r="D191" s="324" t="s">
        <v>544</v>
      </c>
      <c r="E191" s="322">
        <v>3</v>
      </c>
      <c r="F191" s="221"/>
      <c r="G191" s="325">
        <f aca="true" t="shared" si="6" ref="G191:G203">(E191*F191)</f>
        <v>0</v>
      </c>
      <c r="H191" s="226"/>
      <c r="J191" s="210"/>
    </row>
    <row r="192" spans="1:10" ht="20.4">
      <c r="A192" s="390" t="s">
        <v>891</v>
      </c>
      <c r="B192" s="323" t="s">
        <v>847</v>
      </c>
      <c r="C192" s="322" t="s">
        <v>972</v>
      </c>
      <c r="D192" s="324" t="s">
        <v>544</v>
      </c>
      <c r="E192" s="322">
        <v>4</v>
      </c>
      <c r="F192" s="221"/>
      <c r="G192" s="325">
        <f t="shared" si="6"/>
        <v>0</v>
      </c>
      <c r="H192" s="226"/>
      <c r="J192" s="210"/>
    </row>
    <row r="193" spans="1:10" ht="20.4">
      <c r="A193" s="390" t="s">
        <v>896</v>
      </c>
      <c r="B193" s="323" t="s">
        <v>847</v>
      </c>
      <c r="C193" s="322" t="s">
        <v>973</v>
      </c>
      <c r="D193" s="324" t="s">
        <v>544</v>
      </c>
      <c r="E193" s="322">
        <v>8</v>
      </c>
      <c r="F193" s="221"/>
      <c r="G193" s="325">
        <f t="shared" si="6"/>
        <v>0</v>
      </c>
      <c r="H193" s="227"/>
      <c r="I193" s="210"/>
      <c r="J193" s="210"/>
    </row>
    <row r="194" spans="1:10" ht="20.4">
      <c r="A194" s="391" t="s">
        <v>898</v>
      </c>
      <c r="B194" s="323" t="s">
        <v>847</v>
      </c>
      <c r="C194" s="322" t="s">
        <v>974</v>
      </c>
      <c r="D194" s="324" t="s">
        <v>544</v>
      </c>
      <c r="E194" s="322">
        <v>6</v>
      </c>
      <c r="F194" s="221"/>
      <c r="G194" s="325">
        <f t="shared" si="6"/>
        <v>0</v>
      </c>
      <c r="H194" s="216"/>
      <c r="I194" s="210"/>
      <c r="J194" s="210"/>
    </row>
    <row r="195" spans="1:9" ht="20.4">
      <c r="A195" s="391" t="s">
        <v>900</v>
      </c>
      <c r="B195" s="323" t="s">
        <v>847</v>
      </c>
      <c r="C195" s="322" t="s">
        <v>975</v>
      </c>
      <c r="D195" s="324" t="s">
        <v>544</v>
      </c>
      <c r="E195" s="322">
        <v>50</v>
      </c>
      <c r="F195" s="221"/>
      <c r="G195" s="325">
        <f t="shared" si="6"/>
        <v>0</v>
      </c>
      <c r="I195" s="210"/>
    </row>
    <row r="196" spans="1:9" ht="20.4">
      <c r="A196" s="391" t="s">
        <v>902</v>
      </c>
      <c r="B196" s="323" t="s">
        <v>847</v>
      </c>
      <c r="C196" s="322" t="s">
        <v>976</v>
      </c>
      <c r="D196" s="324" t="s">
        <v>544</v>
      </c>
      <c r="E196" s="322">
        <v>21</v>
      </c>
      <c r="F196" s="221"/>
      <c r="G196" s="325">
        <f t="shared" si="6"/>
        <v>0</v>
      </c>
      <c r="I196" s="210"/>
    </row>
    <row r="197" spans="1:9" ht="20.4">
      <c r="A197" s="391" t="s">
        <v>904</v>
      </c>
      <c r="B197" s="323" t="s">
        <v>847</v>
      </c>
      <c r="C197" s="322" t="s">
        <v>977</v>
      </c>
      <c r="D197" s="324" t="s">
        <v>544</v>
      </c>
      <c r="E197" s="322">
        <v>8</v>
      </c>
      <c r="F197" s="221"/>
      <c r="G197" s="325">
        <f t="shared" si="6"/>
        <v>0</v>
      </c>
      <c r="I197" s="210"/>
    </row>
    <row r="198" spans="1:9" ht="20.4">
      <c r="A198" s="391" t="s">
        <v>906</v>
      </c>
      <c r="B198" s="323" t="s">
        <v>847</v>
      </c>
      <c r="C198" s="322" t="s">
        <v>978</v>
      </c>
      <c r="D198" s="324" t="s">
        <v>544</v>
      </c>
      <c r="E198" s="322">
        <v>3</v>
      </c>
      <c r="F198" s="221"/>
      <c r="G198" s="325">
        <f t="shared" si="6"/>
        <v>0</v>
      </c>
      <c r="I198" s="210"/>
    </row>
    <row r="199" spans="1:10" ht="20.4">
      <c r="A199" s="391" t="s">
        <v>908</v>
      </c>
      <c r="B199" s="323" t="s">
        <v>847</v>
      </c>
      <c r="C199" s="322" t="s">
        <v>979</v>
      </c>
      <c r="D199" s="324" t="s">
        <v>544</v>
      </c>
      <c r="E199" s="322">
        <v>10</v>
      </c>
      <c r="F199" s="221"/>
      <c r="G199" s="325">
        <f t="shared" si="6"/>
        <v>0</v>
      </c>
      <c r="H199" s="231"/>
      <c r="I199" s="210"/>
      <c r="J199" s="210"/>
    </row>
    <row r="200" spans="1:8" ht="20.4">
      <c r="A200" s="383" t="s">
        <v>910</v>
      </c>
      <c r="B200" s="384" t="s">
        <v>847</v>
      </c>
      <c r="C200" s="322" t="s">
        <v>980</v>
      </c>
      <c r="D200" s="324" t="s">
        <v>544</v>
      </c>
      <c r="E200" s="322">
        <v>11</v>
      </c>
      <c r="F200" s="221"/>
      <c r="G200" s="325">
        <f t="shared" si="6"/>
        <v>0</v>
      </c>
      <c r="H200" s="231"/>
    </row>
    <row r="201" spans="1:8" ht="20.4">
      <c r="A201" s="391" t="s">
        <v>912</v>
      </c>
      <c r="B201" s="323" t="s">
        <v>847</v>
      </c>
      <c r="C201" s="322" t="s">
        <v>981</v>
      </c>
      <c r="D201" s="324" t="s">
        <v>544</v>
      </c>
      <c r="E201" s="322">
        <v>5</v>
      </c>
      <c r="F201" s="221"/>
      <c r="G201" s="325">
        <f t="shared" si="6"/>
        <v>0</v>
      </c>
      <c r="H201" s="231"/>
    </row>
    <row r="202" spans="1:8" ht="20.4">
      <c r="A202" s="383" t="s">
        <v>914</v>
      </c>
      <c r="B202" s="384" t="s">
        <v>847</v>
      </c>
      <c r="C202" s="322" t="s">
        <v>982</v>
      </c>
      <c r="D202" s="324" t="s">
        <v>544</v>
      </c>
      <c r="E202" s="322">
        <v>4</v>
      </c>
      <c r="F202" s="221"/>
      <c r="G202" s="325">
        <f t="shared" si="6"/>
        <v>0</v>
      </c>
      <c r="H202" s="231"/>
    </row>
    <row r="203" spans="1:8" ht="15">
      <c r="A203" s="330" t="s">
        <v>916</v>
      </c>
      <c r="B203" s="342" t="s">
        <v>847</v>
      </c>
      <c r="C203" s="313" t="s">
        <v>983</v>
      </c>
      <c r="D203" s="331" t="s">
        <v>544</v>
      </c>
      <c r="E203" s="313">
        <f>SUM(E191:E202)</f>
        <v>133</v>
      </c>
      <c r="F203" s="218"/>
      <c r="G203" s="314">
        <f t="shared" si="6"/>
        <v>0</v>
      </c>
      <c r="H203" s="231"/>
    </row>
    <row r="204" spans="1:8" ht="15">
      <c r="A204" s="339"/>
      <c r="B204" s="355"/>
      <c r="C204" s="313"/>
      <c r="D204" s="331"/>
      <c r="E204" s="313"/>
      <c r="F204" s="218"/>
      <c r="G204" s="314"/>
      <c r="H204" s="231"/>
    </row>
    <row r="205" spans="1:8" ht="15">
      <c r="A205" s="339"/>
      <c r="B205" s="355"/>
      <c r="C205" s="313"/>
      <c r="D205" s="331"/>
      <c r="E205" s="313"/>
      <c r="F205" s="218"/>
      <c r="G205" s="385">
        <f>SUM(G191:G204)</f>
        <v>0</v>
      </c>
      <c r="H205" s="230"/>
    </row>
    <row r="206" spans="1:7" ht="15">
      <c r="A206" s="339"/>
      <c r="B206" s="355"/>
      <c r="C206" s="313"/>
      <c r="D206" s="331"/>
      <c r="E206" s="313"/>
      <c r="F206" s="218"/>
      <c r="G206" s="314"/>
    </row>
    <row r="207" spans="1:7" ht="15">
      <c r="A207" s="392"/>
      <c r="B207" s="393"/>
      <c r="C207" s="379" t="s">
        <v>984</v>
      </c>
      <c r="D207" s="380"/>
      <c r="E207" s="393"/>
      <c r="F207" s="233"/>
      <c r="G207" s="394"/>
    </row>
    <row r="208" spans="1:8" ht="15">
      <c r="A208" s="337"/>
      <c r="B208" s="337"/>
      <c r="C208" s="337"/>
      <c r="D208" s="316"/>
      <c r="E208" s="337"/>
      <c r="F208" s="211"/>
      <c r="G208" s="338"/>
      <c r="H208" s="226"/>
    </row>
    <row r="209" spans="1:9" ht="15">
      <c r="A209" s="330" t="s">
        <v>889</v>
      </c>
      <c r="B209" s="342" t="s">
        <v>847</v>
      </c>
      <c r="C209" s="330" t="s">
        <v>985</v>
      </c>
      <c r="D209" s="316" t="s">
        <v>74</v>
      </c>
      <c r="E209" s="330">
        <v>710</v>
      </c>
      <c r="F209" s="225"/>
      <c r="G209" s="336">
        <f aca="true" t="shared" si="7" ref="G209:G219">E209*F209</f>
        <v>0</v>
      </c>
      <c r="H209" s="227"/>
      <c r="I209" s="226"/>
    </row>
    <row r="210" spans="1:9" ht="15">
      <c r="A210" s="330" t="s">
        <v>891</v>
      </c>
      <c r="B210" s="342" t="s">
        <v>847</v>
      </c>
      <c r="C210" s="330" t="s">
        <v>986</v>
      </c>
      <c r="D210" s="316" t="s">
        <v>74</v>
      </c>
      <c r="E210" s="330">
        <v>2490</v>
      </c>
      <c r="F210" s="225"/>
      <c r="G210" s="336">
        <f t="shared" si="7"/>
        <v>0</v>
      </c>
      <c r="H210" s="226"/>
      <c r="I210" s="226"/>
    </row>
    <row r="211" spans="1:9" ht="15">
      <c r="A211" s="330" t="s">
        <v>896</v>
      </c>
      <c r="B211" s="342" t="s">
        <v>847</v>
      </c>
      <c r="C211" s="330" t="s">
        <v>987</v>
      </c>
      <c r="D211" s="316" t="s">
        <v>74</v>
      </c>
      <c r="E211" s="330">
        <v>1770</v>
      </c>
      <c r="F211" s="225"/>
      <c r="G211" s="336">
        <f t="shared" si="7"/>
        <v>0</v>
      </c>
      <c r="H211" s="226"/>
      <c r="I211" s="226"/>
    </row>
    <row r="212" spans="1:9" ht="15">
      <c r="A212" s="330" t="s">
        <v>898</v>
      </c>
      <c r="B212" s="342" t="s">
        <v>847</v>
      </c>
      <c r="C212" s="330" t="s">
        <v>988</v>
      </c>
      <c r="D212" s="316" t="s">
        <v>74</v>
      </c>
      <c r="E212" s="330">
        <v>460</v>
      </c>
      <c r="F212" s="225"/>
      <c r="G212" s="336">
        <f t="shared" si="7"/>
        <v>0</v>
      </c>
      <c r="H212" s="226"/>
      <c r="I212" s="226"/>
    </row>
    <row r="213" spans="1:9" ht="15">
      <c r="A213" s="330" t="s">
        <v>900</v>
      </c>
      <c r="B213" s="342" t="s">
        <v>847</v>
      </c>
      <c r="C213" s="313" t="s">
        <v>989</v>
      </c>
      <c r="D213" s="316" t="s">
        <v>74</v>
      </c>
      <c r="E213" s="313">
        <v>20</v>
      </c>
      <c r="F213" s="218"/>
      <c r="G213" s="336">
        <f t="shared" si="7"/>
        <v>0</v>
      </c>
      <c r="H213" s="226"/>
      <c r="I213" s="226"/>
    </row>
    <row r="214" spans="1:9" ht="15">
      <c r="A214" s="330" t="s">
        <v>902</v>
      </c>
      <c r="B214" s="342" t="s">
        <v>847</v>
      </c>
      <c r="C214" s="313" t="s">
        <v>990</v>
      </c>
      <c r="D214" s="316" t="s">
        <v>74</v>
      </c>
      <c r="E214" s="313">
        <v>20</v>
      </c>
      <c r="F214" s="218"/>
      <c r="G214" s="336">
        <f t="shared" si="7"/>
        <v>0</v>
      </c>
      <c r="H214" s="226"/>
      <c r="I214" s="226"/>
    </row>
    <row r="215" spans="1:9" ht="15">
      <c r="A215" s="330" t="s">
        <v>904</v>
      </c>
      <c r="B215" s="342" t="s">
        <v>847</v>
      </c>
      <c r="C215" s="313" t="s">
        <v>991</v>
      </c>
      <c r="D215" s="316" t="s">
        <v>74</v>
      </c>
      <c r="E215" s="330">
        <v>70</v>
      </c>
      <c r="F215" s="225"/>
      <c r="G215" s="336">
        <f t="shared" si="7"/>
        <v>0</v>
      </c>
      <c r="H215" s="226"/>
      <c r="I215" s="226"/>
    </row>
    <row r="216" spans="1:9" ht="15">
      <c r="A216" s="330" t="s">
        <v>906</v>
      </c>
      <c r="B216" s="342" t="s">
        <v>847</v>
      </c>
      <c r="C216" s="313" t="s">
        <v>992</v>
      </c>
      <c r="D216" s="316" t="s">
        <v>74</v>
      </c>
      <c r="E216" s="330">
        <v>210</v>
      </c>
      <c r="F216" s="225"/>
      <c r="G216" s="336">
        <f t="shared" si="7"/>
        <v>0</v>
      </c>
      <c r="H216" s="226"/>
      <c r="I216" s="226"/>
    </row>
    <row r="217" spans="1:9" ht="15">
      <c r="A217" s="330" t="s">
        <v>908</v>
      </c>
      <c r="B217" s="342" t="s">
        <v>847</v>
      </c>
      <c r="C217" s="313" t="s">
        <v>993</v>
      </c>
      <c r="D217" s="316" t="s">
        <v>74</v>
      </c>
      <c r="E217" s="330">
        <v>270</v>
      </c>
      <c r="F217" s="225"/>
      <c r="G217" s="336">
        <f t="shared" si="7"/>
        <v>0</v>
      </c>
      <c r="H217" s="226"/>
      <c r="I217" s="226"/>
    </row>
    <row r="218" spans="1:9" ht="15">
      <c r="A218" s="330" t="s">
        <v>910</v>
      </c>
      <c r="B218" s="342" t="s">
        <v>847</v>
      </c>
      <c r="C218" s="313" t="s">
        <v>994</v>
      </c>
      <c r="D218" s="316" t="s">
        <v>74</v>
      </c>
      <c r="E218" s="330">
        <v>30</v>
      </c>
      <c r="F218" s="225"/>
      <c r="G218" s="336">
        <f t="shared" si="7"/>
        <v>0</v>
      </c>
      <c r="H218" s="226"/>
      <c r="I218" s="226"/>
    </row>
    <row r="219" spans="1:9" ht="15">
      <c r="A219" s="330" t="s">
        <v>912</v>
      </c>
      <c r="B219" s="342" t="s">
        <v>847</v>
      </c>
      <c r="C219" s="313" t="s">
        <v>995</v>
      </c>
      <c r="D219" s="316" t="s">
        <v>74</v>
      </c>
      <c r="E219" s="330">
        <v>55</v>
      </c>
      <c r="F219" s="225"/>
      <c r="G219" s="336">
        <f t="shared" si="7"/>
        <v>0</v>
      </c>
      <c r="I219" s="226"/>
    </row>
    <row r="220" spans="1:9" ht="15">
      <c r="A220" s="313"/>
      <c r="B220" s="326"/>
      <c r="C220" s="337"/>
      <c r="D220" s="316"/>
      <c r="E220" s="337"/>
      <c r="F220" s="211"/>
      <c r="G220" s="336"/>
      <c r="H220" s="234"/>
      <c r="I220" s="226"/>
    </row>
    <row r="221" spans="1:9" ht="15">
      <c r="A221" s="313"/>
      <c r="B221" s="326"/>
      <c r="C221" s="337"/>
      <c r="D221" s="316"/>
      <c r="E221" s="337"/>
      <c r="F221" s="211"/>
      <c r="G221" s="385">
        <f>SUM(G209:G220)</f>
        <v>0</v>
      </c>
      <c r="I221" s="235"/>
    </row>
    <row r="222" spans="1:9" ht="15">
      <c r="A222" s="313"/>
      <c r="B222" s="326"/>
      <c r="C222" s="337"/>
      <c r="D222" s="316"/>
      <c r="E222" s="337"/>
      <c r="F222" s="211"/>
      <c r="G222" s="395"/>
      <c r="H222" s="226"/>
      <c r="I222" s="230"/>
    </row>
    <row r="223" spans="1:9" ht="15">
      <c r="A223" s="392"/>
      <c r="B223" s="396"/>
      <c r="C223" s="379" t="s">
        <v>996</v>
      </c>
      <c r="D223" s="380"/>
      <c r="E223" s="393"/>
      <c r="F223" s="232"/>
      <c r="G223" s="397"/>
      <c r="H223" s="226"/>
      <c r="I223" s="230"/>
    </row>
    <row r="224" spans="1:9" ht="15">
      <c r="A224" s="337"/>
      <c r="B224" s="342"/>
      <c r="C224" s="337"/>
      <c r="D224" s="316"/>
      <c r="E224" s="337"/>
      <c r="F224" s="210"/>
      <c r="G224" s="337"/>
      <c r="H224" s="226"/>
      <c r="I224" s="230"/>
    </row>
    <row r="225" spans="1:9" ht="71.4">
      <c r="A225" s="383" t="s">
        <v>889</v>
      </c>
      <c r="B225" s="384" t="s">
        <v>847</v>
      </c>
      <c r="C225" s="347" t="s">
        <v>997</v>
      </c>
      <c r="D225" s="324" t="s">
        <v>544</v>
      </c>
      <c r="E225" s="348">
        <v>2</v>
      </c>
      <c r="F225" s="215"/>
      <c r="G225" s="349">
        <f aca="true" t="shared" si="8" ref="G225:G239">(E225*F225)</f>
        <v>0</v>
      </c>
      <c r="H225" s="226"/>
      <c r="I225" s="230"/>
    </row>
    <row r="226" spans="1:9" ht="71.4">
      <c r="A226" s="383" t="s">
        <v>891</v>
      </c>
      <c r="B226" s="384" t="s">
        <v>847</v>
      </c>
      <c r="C226" s="347" t="s">
        <v>998</v>
      </c>
      <c r="D226" s="324" t="s">
        <v>544</v>
      </c>
      <c r="E226" s="348">
        <v>2</v>
      </c>
      <c r="F226" s="215"/>
      <c r="G226" s="349">
        <f t="shared" si="8"/>
        <v>0</v>
      </c>
      <c r="H226" s="226"/>
      <c r="I226" s="230"/>
    </row>
    <row r="227" spans="1:9" ht="20.4">
      <c r="A227" s="383" t="s">
        <v>896</v>
      </c>
      <c r="B227" s="384" t="s">
        <v>847</v>
      </c>
      <c r="C227" s="347" t="s">
        <v>999</v>
      </c>
      <c r="D227" s="348" t="s">
        <v>544</v>
      </c>
      <c r="E227" s="348">
        <v>8</v>
      </c>
      <c r="F227" s="215"/>
      <c r="G227" s="349">
        <f t="shared" si="8"/>
        <v>0</v>
      </c>
      <c r="H227" s="226"/>
      <c r="I227" s="230"/>
    </row>
    <row r="228" spans="1:9" ht="20.4">
      <c r="A228" s="383" t="s">
        <v>898</v>
      </c>
      <c r="B228" s="384" t="s">
        <v>847</v>
      </c>
      <c r="C228" s="347" t="s">
        <v>1000</v>
      </c>
      <c r="D228" s="348" t="s">
        <v>544</v>
      </c>
      <c r="E228" s="348">
        <v>32</v>
      </c>
      <c r="F228" s="215"/>
      <c r="G228" s="349">
        <f t="shared" si="8"/>
        <v>0</v>
      </c>
      <c r="H228" s="226"/>
      <c r="I228" s="230"/>
    </row>
    <row r="229" spans="1:9" ht="20.4">
      <c r="A229" s="383" t="s">
        <v>900</v>
      </c>
      <c r="B229" s="384" t="s">
        <v>847</v>
      </c>
      <c r="C229" s="322" t="s">
        <v>1001</v>
      </c>
      <c r="D229" s="348" t="s">
        <v>544</v>
      </c>
      <c r="E229" s="348">
        <v>4</v>
      </c>
      <c r="F229" s="215"/>
      <c r="G229" s="349">
        <f t="shared" si="8"/>
        <v>0</v>
      </c>
      <c r="H229" s="210"/>
      <c r="I229" s="217"/>
    </row>
    <row r="230" spans="1:9" ht="15">
      <c r="A230" s="330" t="s">
        <v>902</v>
      </c>
      <c r="B230" s="342" t="s">
        <v>847</v>
      </c>
      <c r="C230" s="351" t="s">
        <v>1002</v>
      </c>
      <c r="D230" s="316" t="s">
        <v>544</v>
      </c>
      <c r="E230" s="330">
        <v>4</v>
      </c>
      <c r="F230" s="225"/>
      <c r="G230" s="336">
        <f t="shared" si="8"/>
        <v>0</v>
      </c>
      <c r="H230" s="210"/>
      <c r="I230" s="236"/>
    </row>
    <row r="231" spans="1:9" ht="13.05" customHeight="1">
      <c r="A231" s="330" t="s">
        <v>904</v>
      </c>
      <c r="B231" s="342" t="s">
        <v>847</v>
      </c>
      <c r="C231" s="313" t="s">
        <v>1003</v>
      </c>
      <c r="D231" s="331" t="s">
        <v>544</v>
      </c>
      <c r="E231" s="330">
        <v>6</v>
      </c>
      <c r="F231" s="225"/>
      <c r="G231" s="336">
        <f t="shared" si="8"/>
        <v>0</v>
      </c>
      <c r="H231" s="210"/>
      <c r="I231" s="236"/>
    </row>
    <row r="232" spans="1:8" ht="15">
      <c r="A232" s="330" t="s">
        <v>906</v>
      </c>
      <c r="B232" s="342" t="s">
        <v>847</v>
      </c>
      <c r="C232" s="313" t="s">
        <v>1004</v>
      </c>
      <c r="D232" s="331" t="s">
        <v>544</v>
      </c>
      <c r="E232" s="330">
        <v>12</v>
      </c>
      <c r="F232" s="225"/>
      <c r="G232" s="336">
        <f t="shared" si="8"/>
        <v>0</v>
      </c>
      <c r="H232" s="210"/>
    </row>
    <row r="233" spans="1:7" ht="15">
      <c r="A233" s="313" t="s">
        <v>908</v>
      </c>
      <c r="B233" s="342" t="s">
        <v>847</v>
      </c>
      <c r="C233" s="313" t="s">
        <v>1005</v>
      </c>
      <c r="D233" s="331" t="s">
        <v>544</v>
      </c>
      <c r="E233" s="330">
        <v>8</v>
      </c>
      <c r="F233" s="225"/>
      <c r="G233" s="336">
        <f t="shared" si="8"/>
        <v>0</v>
      </c>
    </row>
    <row r="234" spans="1:7" ht="15">
      <c r="A234" s="313" t="s">
        <v>910</v>
      </c>
      <c r="B234" s="342" t="s">
        <v>847</v>
      </c>
      <c r="C234" s="313" t="s">
        <v>1006</v>
      </c>
      <c r="D234" s="316" t="s">
        <v>74</v>
      </c>
      <c r="E234" s="316">
        <v>80</v>
      </c>
      <c r="F234" s="225"/>
      <c r="G234" s="336">
        <f t="shared" si="8"/>
        <v>0</v>
      </c>
    </row>
    <row r="235" spans="1:10" ht="15">
      <c r="A235" s="313" t="s">
        <v>912</v>
      </c>
      <c r="B235" s="342" t="s">
        <v>847</v>
      </c>
      <c r="C235" s="313" t="s">
        <v>1007</v>
      </c>
      <c r="D235" s="398" t="s">
        <v>74</v>
      </c>
      <c r="E235" s="316">
        <v>10</v>
      </c>
      <c r="F235" s="225"/>
      <c r="G235" s="336">
        <f t="shared" si="8"/>
        <v>0</v>
      </c>
      <c r="J235" s="210"/>
    </row>
    <row r="236" spans="1:10" ht="15">
      <c r="A236" s="313" t="s">
        <v>914</v>
      </c>
      <c r="B236" s="342" t="s">
        <v>847</v>
      </c>
      <c r="C236" s="313" t="s">
        <v>1008</v>
      </c>
      <c r="D236" s="331" t="s">
        <v>74</v>
      </c>
      <c r="E236" s="330">
        <v>4</v>
      </c>
      <c r="F236" s="218"/>
      <c r="G236" s="336">
        <f t="shared" si="8"/>
        <v>0</v>
      </c>
      <c r="J236" s="210"/>
    </row>
    <row r="237" spans="1:10" ht="15">
      <c r="A237" s="313" t="s">
        <v>916</v>
      </c>
      <c r="B237" s="342" t="s">
        <v>847</v>
      </c>
      <c r="C237" s="313" t="s">
        <v>1009</v>
      </c>
      <c r="D237" s="331" t="s">
        <v>544</v>
      </c>
      <c r="E237" s="330">
        <v>4</v>
      </c>
      <c r="F237" s="218"/>
      <c r="G237" s="336">
        <f t="shared" si="8"/>
        <v>0</v>
      </c>
      <c r="J237" s="210"/>
    </row>
    <row r="238" spans="1:10" ht="15">
      <c r="A238" s="313" t="s">
        <v>918</v>
      </c>
      <c r="B238" s="342" t="s">
        <v>847</v>
      </c>
      <c r="C238" s="313" t="s">
        <v>1010</v>
      </c>
      <c r="D238" s="331" t="s">
        <v>18</v>
      </c>
      <c r="E238" s="330">
        <v>50</v>
      </c>
      <c r="F238" s="225"/>
      <c r="G238" s="336">
        <f t="shared" si="8"/>
        <v>0</v>
      </c>
      <c r="J238" s="210"/>
    </row>
    <row r="239" spans="1:10" ht="15">
      <c r="A239" s="313" t="s">
        <v>920</v>
      </c>
      <c r="B239" s="342" t="s">
        <v>847</v>
      </c>
      <c r="C239" s="330" t="s">
        <v>1011</v>
      </c>
      <c r="D239" s="352" t="s">
        <v>18</v>
      </c>
      <c r="E239" s="330">
        <v>120</v>
      </c>
      <c r="F239" s="212"/>
      <c r="G239" s="336">
        <f t="shared" si="8"/>
        <v>0</v>
      </c>
      <c r="J239" s="210"/>
    </row>
    <row r="240" spans="1:10" ht="15">
      <c r="A240" s="313"/>
      <c r="B240" s="342"/>
      <c r="C240" s="337"/>
      <c r="D240" s="352"/>
      <c r="E240" s="337"/>
      <c r="F240" s="317"/>
      <c r="G240" s="338"/>
      <c r="J240" s="210"/>
    </row>
    <row r="241" spans="1:10" ht="15">
      <c r="A241" s="327"/>
      <c r="B241" s="327"/>
      <c r="C241" s="327"/>
      <c r="D241" s="327"/>
      <c r="E241" s="327"/>
      <c r="F241" s="328"/>
      <c r="G241" s="399">
        <f>SUM(G225:G240)</f>
        <v>0</v>
      </c>
      <c r="J241" s="210"/>
    </row>
    <row r="242" spans="1:10" ht="15">
      <c r="A242" s="327"/>
      <c r="B242" s="327"/>
      <c r="C242" s="327"/>
      <c r="D242" s="327"/>
      <c r="E242" s="327"/>
      <c r="F242" s="328"/>
      <c r="G242" s="328"/>
      <c r="J242" s="210"/>
    </row>
    <row r="243" spans="1:14" ht="15">
      <c r="A243" s="400"/>
      <c r="B243" s="401"/>
      <c r="C243" s="401"/>
      <c r="D243" s="402"/>
      <c r="E243" s="401"/>
      <c r="F243" s="403"/>
      <c r="G243" s="404"/>
      <c r="J243" s="210"/>
      <c r="M243" s="237"/>
      <c r="N243" s="237"/>
    </row>
    <row r="244" spans="1:14" ht="15">
      <c r="A244" s="405"/>
      <c r="B244" s="406"/>
      <c r="C244" s="406" t="s">
        <v>1012</v>
      </c>
      <c r="D244" s="407"/>
      <c r="E244" s="406"/>
      <c r="F244" s="408"/>
      <c r="G244" s="409">
        <f>SUM(G241+G221+G205+G187+G143)</f>
        <v>0</v>
      </c>
      <c r="N244" s="237"/>
    </row>
    <row r="245" spans="1:14" ht="15">
      <c r="A245" s="410"/>
      <c r="B245" s="411"/>
      <c r="C245" s="411"/>
      <c r="D245" s="412"/>
      <c r="E245" s="411"/>
      <c r="F245" s="413"/>
      <c r="G245" s="414"/>
      <c r="J245" s="210"/>
      <c r="N245" s="237"/>
    </row>
    <row r="246" spans="10:14" ht="13.05" customHeight="1">
      <c r="J246" s="210"/>
      <c r="M246" s="237"/>
      <c r="N246" s="237"/>
    </row>
  </sheetData>
  <sheetProtection algorithmName="SHA-512" hashValue="0K++jvPxi5eUJ/bFFLn/u09ocTa5eB6z3GnaKABg/aiYDqV/pquOSe0ZKu0qx1xFUC7Y4vWvtz7U0qnmM7wExA==" saltValue="9BQZPb7xYSKCogxzZWCW6g==" spinCount="100000" sheet="1" objects="1" scenarios="1"/>
  <printOptions/>
  <pageMargins left="0.590551181102362" right="0.590551181102362" top="0.78740157480315" bottom="0.78740157480315" header="0.31496062992126" footer="0.31496062992126"/>
  <pageSetup fitToHeight="99" fitToWidth="1" horizontalDpi="600" verticalDpi="600" orientation="portrait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zoomScale="130" zoomScaleNormal="130" workbookViewId="0" topLeftCell="A3">
      <selection activeCell="N30" sqref="N30"/>
    </sheetView>
  </sheetViews>
  <sheetFormatPr defaultColWidth="11.57421875" defaultRowHeight="15"/>
  <cols>
    <col min="1" max="1" width="6.28125" style="244" customWidth="1"/>
    <col min="2" max="2" width="1.1484375" style="244" customWidth="1"/>
    <col min="3" max="3" width="49.421875" style="244" customWidth="1"/>
    <col min="4" max="4" width="0.71875" style="244" customWidth="1"/>
    <col min="5" max="5" width="5.421875" style="244" customWidth="1"/>
    <col min="6" max="6" width="0.71875" style="244" customWidth="1"/>
    <col min="7" max="7" width="10.421875" style="244" customWidth="1"/>
    <col min="8" max="8" width="0.71875" style="244" customWidth="1"/>
    <col min="9" max="9" width="10.421875" style="244" customWidth="1"/>
    <col min="10" max="10" width="2.7109375" style="244" customWidth="1"/>
    <col min="11" max="11" width="5.28125" style="244" customWidth="1"/>
    <col min="12" max="12" width="7.7109375" style="244" customWidth="1"/>
    <col min="13" max="256" width="8.7109375" style="244" customWidth="1"/>
    <col min="257" max="257" width="6.28125" style="244" customWidth="1"/>
    <col min="258" max="258" width="1.1484375" style="244" customWidth="1"/>
    <col min="259" max="259" width="49.421875" style="244" customWidth="1"/>
    <col min="260" max="260" width="0.71875" style="244" customWidth="1"/>
    <col min="261" max="261" width="5.421875" style="244" customWidth="1"/>
    <col min="262" max="262" width="0.71875" style="244" customWidth="1"/>
    <col min="263" max="263" width="10.421875" style="244" customWidth="1"/>
    <col min="264" max="264" width="0.71875" style="244" customWidth="1"/>
    <col min="265" max="265" width="10.421875" style="244" customWidth="1"/>
    <col min="266" max="266" width="2.7109375" style="244" customWidth="1"/>
    <col min="267" max="267" width="5.28125" style="244" customWidth="1"/>
    <col min="268" max="268" width="7.7109375" style="244" customWidth="1"/>
    <col min="269" max="512" width="8.7109375" style="244" customWidth="1"/>
    <col min="513" max="513" width="6.28125" style="244" customWidth="1"/>
    <col min="514" max="514" width="1.1484375" style="244" customWidth="1"/>
    <col min="515" max="515" width="49.421875" style="244" customWidth="1"/>
    <col min="516" max="516" width="0.71875" style="244" customWidth="1"/>
    <col min="517" max="517" width="5.421875" style="244" customWidth="1"/>
    <col min="518" max="518" width="0.71875" style="244" customWidth="1"/>
    <col min="519" max="519" width="10.421875" style="244" customWidth="1"/>
    <col min="520" max="520" width="0.71875" style="244" customWidth="1"/>
    <col min="521" max="521" width="10.421875" style="244" customWidth="1"/>
    <col min="522" max="522" width="2.7109375" style="244" customWidth="1"/>
    <col min="523" max="523" width="5.28125" style="244" customWidth="1"/>
    <col min="524" max="524" width="7.7109375" style="244" customWidth="1"/>
    <col min="525" max="768" width="8.7109375" style="244" customWidth="1"/>
    <col min="769" max="769" width="6.28125" style="244" customWidth="1"/>
    <col min="770" max="770" width="1.1484375" style="244" customWidth="1"/>
    <col min="771" max="771" width="49.421875" style="244" customWidth="1"/>
    <col min="772" max="772" width="0.71875" style="244" customWidth="1"/>
    <col min="773" max="773" width="5.421875" style="244" customWidth="1"/>
    <col min="774" max="774" width="0.71875" style="244" customWidth="1"/>
    <col min="775" max="775" width="10.421875" style="244" customWidth="1"/>
    <col min="776" max="776" width="0.71875" style="244" customWidth="1"/>
    <col min="777" max="777" width="10.421875" style="244" customWidth="1"/>
    <col min="778" max="778" width="2.7109375" style="244" customWidth="1"/>
    <col min="779" max="779" width="5.28125" style="244" customWidth="1"/>
    <col min="780" max="780" width="7.7109375" style="244" customWidth="1"/>
    <col min="781" max="1024" width="8.7109375" style="244" customWidth="1"/>
    <col min="1025" max="1025" width="6.28125" style="244" customWidth="1"/>
    <col min="1026" max="1026" width="1.1484375" style="244" customWidth="1"/>
    <col min="1027" max="1027" width="49.421875" style="244" customWidth="1"/>
    <col min="1028" max="1028" width="0.71875" style="244" customWidth="1"/>
    <col min="1029" max="1029" width="5.421875" style="244" customWidth="1"/>
    <col min="1030" max="1030" width="0.71875" style="244" customWidth="1"/>
    <col min="1031" max="1031" width="10.421875" style="244" customWidth="1"/>
    <col min="1032" max="1032" width="0.71875" style="244" customWidth="1"/>
    <col min="1033" max="1033" width="10.421875" style="244" customWidth="1"/>
    <col min="1034" max="1034" width="2.7109375" style="244" customWidth="1"/>
    <col min="1035" max="1035" width="5.28125" style="244" customWidth="1"/>
    <col min="1036" max="1036" width="7.7109375" style="244" customWidth="1"/>
    <col min="1037" max="1280" width="8.7109375" style="244" customWidth="1"/>
    <col min="1281" max="1281" width="6.28125" style="244" customWidth="1"/>
    <col min="1282" max="1282" width="1.1484375" style="244" customWidth="1"/>
    <col min="1283" max="1283" width="49.421875" style="244" customWidth="1"/>
    <col min="1284" max="1284" width="0.71875" style="244" customWidth="1"/>
    <col min="1285" max="1285" width="5.421875" style="244" customWidth="1"/>
    <col min="1286" max="1286" width="0.71875" style="244" customWidth="1"/>
    <col min="1287" max="1287" width="10.421875" style="244" customWidth="1"/>
    <col min="1288" max="1288" width="0.71875" style="244" customWidth="1"/>
    <col min="1289" max="1289" width="10.421875" style="244" customWidth="1"/>
    <col min="1290" max="1290" width="2.7109375" style="244" customWidth="1"/>
    <col min="1291" max="1291" width="5.28125" style="244" customWidth="1"/>
    <col min="1292" max="1292" width="7.7109375" style="244" customWidth="1"/>
    <col min="1293" max="1536" width="8.7109375" style="244" customWidth="1"/>
    <col min="1537" max="1537" width="6.28125" style="244" customWidth="1"/>
    <col min="1538" max="1538" width="1.1484375" style="244" customWidth="1"/>
    <col min="1539" max="1539" width="49.421875" style="244" customWidth="1"/>
    <col min="1540" max="1540" width="0.71875" style="244" customWidth="1"/>
    <col min="1541" max="1541" width="5.421875" style="244" customWidth="1"/>
    <col min="1542" max="1542" width="0.71875" style="244" customWidth="1"/>
    <col min="1543" max="1543" width="10.421875" style="244" customWidth="1"/>
    <col min="1544" max="1544" width="0.71875" style="244" customWidth="1"/>
    <col min="1545" max="1545" width="10.421875" style="244" customWidth="1"/>
    <col min="1546" max="1546" width="2.7109375" style="244" customWidth="1"/>
    <col min="1547" max="1547" width="5.28125" style="244" customWidth="1"/>
    <col min="1548" max="1548" width="7.7109375" style="244" customWidth="1"/>
    <col min="1549" max="1792" width="8.7109375" style="244" customWidth="1"/>
    <col min="1793" max="1793" width="6.28125" style="244" customWidth="1"/>
    <col min="1794" max="1794" width="1.1484375" style="244" customWidth="1"/>
    <col min="1795" max="1795" width="49.421875" style="244" customWidth="1"/>
    <col min="1796" max="1796" width="0.71875" style="244" customWidth="1"/>
    <col min="1797" max="1797" width="5.421875" style="244" customWidth="1"/>
    <col min="1798" max="1798" width="0.71875" style="244" customWidth="1"/>
    <col min="1799" max="1799" width="10.421875" style="244" customWidth="1"/>
    <col min="1800" max="1800" width="0.71875" style="244" customWidth="1"/>
    <col min="1801" max="1801" width="10.421875" style="244" customWidth="1"/>
    <col min="1802" max="1802" width="2.7109375" style="244" customWidth="1"/>
    <col min="1803" max="1803" width="5.28125" style="244" customWidth="1"/>
    <col min="1804" max="1804" width="7.7109375" style="244" customWidth="1"/>
    <col min="1805" max="2048" width="8.7109375" style="244" customWidth="1"/>
    <col min="2049" max="2049" width="6.28125" style="244" customWidth="1"/>
    <col min="2050" max="2050" width="1.1484375" style="244" customWidth="1"/>
    <col min="2051" max="2051" width="49.421875" style="244" customWidth="1"/>
    <col min="2052" max="2052" width="0.71875" style="244" customWidth="1"/>
    <col min="2053" max="2053" width="5.421875" style="244" customWidth="1"/>
    <col min="2054" max="2054" width="0.71875" style="244" customWidth="1"/>
    <col min="2055" max="2055" width="10.421875" style="244" customWidth="1"/>
    <col min="2056" max="2056" width="0.71875" style="244" customWidth="1"/>
    <col min="2057" max="2057" width="10.421875" style="244" customWidth="1"/>
    <col min="2058" max="2058" width="2.7109375" style="244" customWidth="1"/>
    <col min="2059" max="2059" width="5.28125" style="244" customWidth="1"/>
    <col min="2060" max="2060" width="7.7109375" style="244" customWidth="1"/>
    <col min="2061" max="2304" width="8.7109375" style="244" customWidth="1"/>
    <col min="2305" max="2305" width="6.28125" style="244" customWidth="1"/>
    <col min="2306" max="2306" width="1.1484375" style="244" customWidth="1"/>
    <col min="2307" max="2307" width="49.421875" style="244" customWidth="1"/>
    <col min="2308" max="2308" width="0.71875" style="244" customWidth="1"/>
    <col min="2309" max="2309" width="5.421875" style="244" customWidth="1"/>
    <col min="2310" max="2310" width="0.71875" style="244" customWidth="1"/>
    <col min="2311" max="2311" width="10.421875" style="244" customWidth="1"/>
    <col min="2312" max="2312" width="0.71875" style="244" customWidth="1"/>
    <col min="2313" max="2313" width="10.421875" style="244" customWidth="1"/>
    <col min="2314" max="2314" width="2.7109375" style="244" customWidth="1"/>
    <col min="2315" max="2315" width="5.28125" style="244" customWidth="1"/>
    <col min="2316" max="2316" width="7.7109375" style="244" customWidth="1"/>
    <col min="2317" max="2560" width="8.7109375" style="244" customWidth="1"/>
    <col min="2561" max="2561" width="6.28125" style="244" customWidth="1"/>
    <col min="2562" max="2562" width="1.1484375" style="244" customWidth="1"/>
    <col min="2563" max="2563" width="49.421875" style="244" customWidth="1"/>
    <col min="2564" max="2564" width="0.71875" style="244" customWidth="1"/>
    <col min="2565" max="2565" width="5.421875" style="244" customWidth="1"/>
    <col min="2566" max="2566" width="0.71875" style="244" customWidth="1"/>
    <col min="2567" max="2567" width="10.421875" style="244" customWidth="1"/>
    <col min="2568" max="2568" width="0.71875" style="244" customWidth="1"/>
    <col min="2569" max="2569" width="10.421875" style="244" customWidth="1"/>
    <col min="2570" max="2570" width="2.7109375" style="244" customWidth="1"/>
    <col min="2571" max="2571" width="5.28125" style="244" customWidth="1"/>
    <col min="2572" max="2572" width="7.7109375" style="244" customWidth="1"/>
    <col min="2573" max="2816" width="8.7109375" style="244" customWidth="1"/>
    <col min="2817" max="2817" width="6.28125" style="244" customWidth="1"/>
    <col min="2818" max="2818" width="1.1484375" style="244" customWidth="1"/>
    <col min="2819" max="2819" width="49.421875" style="244" customWidth="1"/>
    <col min="2820" max="2820" width="0.71875" style="244" customWidth="1"/>
    <col min="2821" max="2821" width="5.421875" style="244" customWidth="1"/>
    <col min="2822" max="2822" width="0.71875" style="244" customWidth="1"/>
    <col min="2823" max="2823" width="10.421875" style="244" customWidth="1"/>
    <col min="2824" max="2824" width="0.71875" style="244" customWidth="1"/>
    <col min="2825" max="2825" width="10.421875" style="244" customWidth="1"/>
    <col min="2826" max="2826" width="2.7109375" style="244" customWidth="1"/>
    <col min="2827" max="2827" width="5.28125" style="244" customWidth="1"/>
    <col min="2828" max="2828" width="7.7109375" style="244" customWidth="1"/>
    <col min="2829" max="3072" width="8.7109375" style="244" customWidth="1"/>
    <col min="3073" max="3073" width="6.28125" style="244" customWidth="1"/>
    <col min="3074" max="3074" width="1.1484375" style="244" customWidth="1"/>
    <col min="3075" max="3075" width="49.421875" style="244" customWidth="1"/>
    <col min="3076" max="3076" width="0.71875" style="244" customWidth="1"/>
    <col min="3077" max="3077" width="5.421875" style="244" customWidth="1"/>
    <col min="3078" max="3078" width="0.71875" style="244" customWidth="1"/>
    <col min="3079" max="3079" width="10.421875" style="244" customWidth="1"/>
    <col min="3080" max="3080" width="0.71875" style="244" customWidth="1"/>
    <col min="3081" max="3081" width="10.421875" style="244" customWidth="1"/>
    <col min="3082" max="3082" width="2.7109375" style="244" customWidth="1"/>
    <col min="3083" max="3083" width="5.28125" style="244" customWidth="1"/>
    <col min="3084" max="3084" width="7.7109375" style="244" customWidth="1"/>
    <col min="3085" max="3328" width="8.7109375" style="244" customWidth="1"/>
    <col min="3329" max="3329" width="6.28125" style="244" customWidth="1"/>
    <col min="3330" max="3330" width="1.1484375" style="244" customWidth="1"/>
    <col min="3331" max="3331" width="49.421875" style="244" customWidth="1"/>
    <col min="3332" max="3332" width="0.71875" style="244" customWidth="1"/>
    <col min="3333" max="3333" width="5.421875" style="244" customWidth="1"/>
    <col min="3334" max="3334" width="0.71875" style="244" customWidth="1"/>
    <col min="3335" max="3335" width="10.421875" style="244" customWidth="1"/>
    <col min="3336" max="3336" width="0.71875" style="244" customWidth="1"/>
    <col min="3337" max="3337" width="10.421875" style="244" customWidth="1"/>
    <col min="3338" max="3338" width="2.7109375" style="244" customWidth="1"/>
    <col min="3339" max="3339" width="5.28125" style="244" customWidth="1"/>
    <col min="3340" max="3340" width="7.7109375" style="244" customWidth="1"/>
    <col min="3341" max="3584" width="8.7109375" style="244" customWidth="1"/>
    <col min="3585" max="3585" width="6.28125" style="244" customWidth="1"/>
    <col min="3586" max="3586" width="1.1484375" style="244" customWidth="1"/>
    <col min="3587" max="3587" width="49.421875" style="244" customWidth="1"/>
    <col min="3588" max="3588" width="0.71875" style="244" customWidth="1"/>
    <col min="3589" max="3589" width="5.421875" style="244" customWidth="1"/>
    <col min="3590" max="3590" width="0.71875" style="244" customWidth="1"/>
    <col min="3591" max="3591" width="10.421875" style="244" customWidth="1"/>
    <col min="3592" max="3592" width="0.71875" style="244" customWidth="1"/>
    <col min="3593" max="3593" width="10.421875" style="244" customWidth="1"/>
    <col min="3594" max="3594" width="2.7109375" style="244" customWidth="1"/>
    <col min="3595" max="3595" width="5.28125" style="244" customWidth="1"/>
    <col min="3596" max="3596" width="7.7109375" style="244" customWidth="1"/>
    <col min="3597" max="3840" width="8.7109375" style="244" customWidth="1"/>
    <col min="3841" max="3841" width="6.28125" style="244" customWidth="1"/>
    <col min="3842" max="3842" width="1.1484375" style="244" customWidth="1"/>
    <col min="3843" max="3843" width="49.421875" style="244" customWidth="1"/>
    <col min="3844" max="3844" width="0.71875" style="244" customWidth="1"/>
    <col min="3845" max="3845" width="5.421875" style="244" customWidth="1"/>
    <col min="3846" max="3846" width="0.71875" style="244" customWidth="1"/>
    <col min="3847" max="3847" width="10.421875" style="244" customWidth="1"/>
    <col min="3848" max="3848" width="0.71875" style="244" customWidth="1"/>
    <col min="3849" max="3849" width="10.421875" style="244" customWidth="1"/>
    <col min="3850" max="3850" width="2.7109375" style="244" customWidth="1"/>
    <col min="3851" max="3851" width="5.28125" style="244" customWidth="1"/>
    <col min="3852" max="3852" width="7.7109375" style="244" customWidth="1"/>
    <col min="3853" max="4096" width="8.7109375" style="244" customWidth="1"/>
    <col min="4097" max="4097" width="6.28125" style="244" customWidth="1"/>
    <col min="4098" max="4098" width="1.1484375" style="244" customWidth="1"/>
    <col min="4099" max="4099" width="49.421875" style="244" customWidth="1"/>
    <col min="4100" max="4100" width="0.71875" style="244" customWidth="1"/>
    <col min="4101" max="4101" width="5.421875" style="244" customWidth="1"/>
    <col min="4102" max="4102" width="0.71875" style="244" customWidth="1"/>
    <col min="4103" max="4103" width="10.421875" style="244" customWidth="1"/>
    <col min="4104" max="4104" width="0.71875" style="244" customWidth="1"/>
    <col min="4105" max="4105" width="10.421875" style="244" customWidth="1"/>
    <col min="4106" max="4106" width="2.7109375" style="244" customWidth="1"/>
    <col min="4107" max="4107" width="5.28125" style="244" customWidth="1"/>
    <col min="4108" max="4108" width="7.7109375" style="244" customWidth="1"/>
    <col min="4109" max="4352" width="8.7109375" style="244" customWidth="1"/>
    <col min="4353" max="4353" width="6.28125" style="244" customWidth="1"/>
    <col min="4354" max="4354" width="1.1484375" style="244" customWidth="1"/>
    <col min="4355" max="4355" width="49.421875" style="244" customWidth="1"/>
    <col min="4356" max="4356" width="0.71875" style="244" customWidth="1"/>
    <col min="4357" max="4357" width="5.421875" style="244" customWidth="1"/>
    <col min="4358" max="4358" width="0.71875" style="244" customWidth="1"/>
    <col min="4359" max="4359" width="10.421875" style="244" customWidth="1"/>
    <col min="4360" max="4360" width="0.71875" style="244" customWidth="1"/>
    <col min="4361" max="4361" width="10.421875" style="244" customWidth="1"/>
    <col min="4362" max="4362" width="2.7109375" style="244" customWidth="1"/>
    <col min="4363" max="4363" width="5.28125" style="244" customWidth="1"/>
    <col min="4364" max="4364" width="7.7109375" style="244" customWidth="1"/>
    <col min="4365" max="4608" width="8.7109375" style="244" customWidth="1"/>
    <col min="4609" max="4609" width="6.28125" style="244" customWidth="1"/>
    <col min="4610" max="4610" width="1.1484375" style="244" customWidth="1"/>
    <col min="4611" max="4611" width="49.421875" style="244" customWidth="1"/>
    <col min="4612" max="4612" width="0.71875" style="244" customWidth="1"/>
    <col min="4613" max="4613" width="5.421875" style="244" customWidth="1"/>
    <col min="4614" max="4614" width="0.71875" style="244" customWidth="1"/>
    <col min="4615" max="4615" width="10.421875" style="244" customWidth="1"/>
    <col min="4616" max="4616" width="0.71875" style="244" customWidth="1"/>
    <col min="4617" max="4617" width="10.421875" style="244" customWidth="1"/>
    <col min="4618" max="4618" width="2.7109375" style="244" customWidth="1"/>
    <col min="4619" max="4619" width="5.28125" style="244" customWidth="1"/>
    <col min="4620" max="4620" width="7.7109375" style="244" customWidth="1"/>
    <col min="4621" max="4864" width="8.7109375" style="244" customWidth="1"/>
    <col min="4865" max="4865" width="6.28125" style="244" customWidth="1"/>
    <col min="4866" max="4866" width="1.1484375" style="244" customWidth="1"/>
    <col min="4867" max="4867" width="49.421875" style="244" customWidth="1"/>
    <col min="4868" max="4868" width="0.71875" style="244" customWidth="1"/>
    <col min="4869" max="4869" width="5.421875" style="244" customWidth="1"/>
    <col min="4870" max="4870" width="0.71875" style="244" customWidth="1"/>
    <col min="4871" max="4871" width="10.421875" style="244" customWidth="1"/>
    <col min="4872" max="4872" width="0.71875" style="244" customWidth="1"/>
    <col min="4873" max="4873" width="10.421875" style="244" customWidth="1"/>
    <col min="4874" max="4874" width="2.7109375" style="244" customWidth="1"/>
    <col min="4875" max="4875" width="5.28125" style="244" customWidth="1"/>
    <col min="4876" max="4876" width="7.7109375" style="244" customWidth="1"/>
    <col min="4877" max="5120" width="8.7109375" style="244" customWidth="1"/>
    <col min="5121" max="5121" width="6.28125" style="244" customWidth="1"/>
    <col min="5122" max="5122" width="1.1484375" style="244" customWidth="1"/>
    <col min="5123" max="5123" width="49.421875" style="244" customWidth="1"/>
    <col min="5124" max="5124" width="0.71875" style="244" customWidth="1"/>
    <col min="5125" max="5125" width="5.421875" style="244" customWidth="1"/>
    <col min="5126" max="5126" width="0.71875" style="244" customWidth="1"/>
    <col min="5127" max="5127" width="10.421875" style="244" customWidth="1"/>
    <col min="5128" max="5128" width="0.71875" style="244" customWidth="1"/>
    <col min="5129" max="5129" width="10.421875" style="244" customWidth="1"/>
    <col min="5130" max="5130" width="2.7109375" style="244" customWidth="1"/>
    <col min="5131" max="5131" width="5.28125" style="244" customWidth="1"/>
    <col min="5132" max="5132" width="7.7109375" style="244" customWidth="1"/>
    <col min="5133" max="5376" width="8.7109375" style="244" customWidth="1"/>
    <col min="5377" max="5377" width="6.28125" style="244" customWidth="1"/>
    <col min="5378" max="5378" width="1.1484375" style="244" customWidth="1"/>
    <col min="5379" max="5379" width="49.421875" style="244" customWidth="1"/>
    <col min="5380" max="5380" width="0.71875" style="244" customWidth="1"/>
    <col min="5381" max="5381" width="5.421875" style="244" customWidth="1"/>
    <col min="5382" max="5382" width="0.71875" style="244" customWidth="1"/>
    <col min="5383" max="5383" width="10.421875" style="244" customWidth="1"/>
    <col min="5384" max="5384" width="0.71875" style="244" customWidth="1"/>
    <col min="5385" max="5385" width="10.421875" style="244" customWidth="1"/>
    <col min="5386" max="5386" width="2.7109375" style="244" customWidth="1"/>
    <col min="5387" max="5387" width="5.28125" style="244" customWidth="1"/>
    <col min="5388" max="5388" width="7.7109375" style="244" customWidth="1"/>
    <col min="5389" max="5632" width="8.7109375" style="244" customWidth="1"/>
    <col min="5633" max="5633" width="6.28125" style="244" customWidth="1"/>
    <col min="5634" max="5634" width="1.1484375" style="244" customWidth="1"/>
    <col min="5635" max="5635" width="49.421875" style="244" customWidth="1"/>
    <col min="5636" max="5636" width="0.71875" style="244" customWidth="1"/>
    <col min="5637" max="5637" width="5.421875" style="244" customWidth="1"/>
    <col min="5638" max="5638" width="0.71875" style="244" customWidth="1"/>
    <col min="5639" max="5639" width="10.421875" style="244" customWidth="1"/>
    <col min="5640" max="5640" width="0.71875" style="244" customWidth="1"/>
    <col min="5641" max="5641" width="10.421875" style="244" customWidth="1"/>
    <col min="5642" max="5642" width="2.7109375" style="244" customWidth="1"/>
    <col min="5643" max="5643" width="5.28125" style="244" customWidth="1"/>
    <col min="5644" max="5644" width="7.7109375" style="244" customWidth="1"/>
    <col min="5645" max="5888" width="8.7109375" style="244" customWidth="1"/>
    <col min="5889" max="5889" width="6.28125" style="244" customWidth="1"/>
    <col min="5890" max="5890" width="1.1484375" style="244" customWidth="1"/>
    <col min="5891" max="5891" width="49.421875" style="244" customWidth="1"/>
    <col min="5892" max="5892" width="0.71875" style="244" customWidth="1"/>
    <col min="5893" max="5893" width="5.421875" style="244" customWidth="1"/>
    <col min="5894" max="5894" width="0.71875" style="244" customWidth="1"/>
    <col min="5895" max="5895" width="10.421875" style="244" customWidth="1"/>
    <col min="5896" max="5896" width="0.71875" style="244" customWidth="1"/>
    <col min="5897" max="5897" width="10.421875" style="244" customWidth="1"/>
    <col min="5898" max="5898" width="2.7109375" style="244" customWidth="1"/>
    <col min="5899" max="5899" width="5.28125" style="244" customWidth="1"/>
    <col min="5900" max="5900" width="7.7109375" style="244" customWidth="1"/>
    <col min="5901" max="6144" width="8.7109375" style="244" customWidth="1"/>
    <col min="6145" max="6145" width="6.28125" style="244" customWidth="1"/>
    <col min="6146" max="6146" width="1.1484375" style="244" customWidth="1"/>
    <col min="6147" max="6147" width="49.421875" style="244" customWidth="1"/>
    <col min="6148" max="6148" width="0.71875" style="244" customWidth="1"/>
    <col min="6149" max="6149" width="5.421875" style="244" customWidth="1"/>
    <col min="6150" max="6150" width="0.71875" style="244" customWidth="1"/>
    <col min="6151" max="6151" width="10.421875" style="244" customWidth="1"/>
    <col min="6152" max="6152" width="0.71875" style="244" customWidth="1"/>
    <col min="6153" max="6153" width="10.421875" style="244" customWidth="1"/>
    <col min="6154" max="6154" width="2.7109375" style="244" customWidth="1"/>
    <col min="6155" max="6155" width="5.28125" style="244" customWidth="1"/>
    <col min="6156" max="6156" width="7.7109375" style="244" customWidth="1"/>
    <col min="6157" max="6400" width="8.7109375" style="244" customWidth="1"/>
    <col min="6401" max="6401" width="6.28125" style="244" customWidth="1"/>
    <col min="6402" max="6402" width="1.1484375" style="244" customWidth="1"/>
    <col min="6403" max="6403" width="49.421875" style="244" customWidth="1"/>
    <col min="6404" max="6404" width="0.71875" style="244" customWidth="1"/>
    <col min="6405" max="6405" width="5.421875" style="244" customWidth="1"/>
    <col min="6406" max="6406" width="0.71875" style="244" customWidth="1"/>
    <col min="6407" max="6407" width="10.421875" style="244" customWidth="1"/>
    <col min="6408" max="6408" width="0.71875" style="244" customWidth="1"/>
    <col min="6409" max="6409" width="10.421875" style="244" customWidth="1"/>
    <col min="6410" max="6410" width="2.7109375" style="244" customWidth="1"/>
    <col min="6411" max="6411" width="5.28125" style="244" customWidth="1"/>
    <col min="6412" max="6412" width="7.7109375" style="244" customWidth="1"/>
    <col min="6413" max="6656" width="8.7109375" style="244" customWidth="1"/>
    <col min="6657" max="6657" width="6.28125" style="244" customWidth="1"/>
    <col min="6658" max="6658" width="1.1484375" style="244" customWidth="1"/>
    <col min="6659" max="6659" width="49.421875" style="244" customWidth="1"/>
    <col min="6660" max="6660" width="0.71875" style="244" customWidth="1"/>
    <col min="6661" max="6661" width="5.421875" style="244" customWidth="1"/>
    <col min="6662" max="6662" width="0.71875" style="244" customWidth="1"/>
    <col min="6663" max="6663" width="10.421875" style="244" customWidth="1"/>
    <col min="6664" max="6664" width="0.71875" style="244" customWidth="1"/>
    <col min="6665" max="6665" width="10.421875" style="244" customWidth="1"/>
    <col min="6666" max="6666" width="2.7109375" style="244" customWidth="1"/>
    <col min="6667" max="6667" width="5.28125" style="244" customWidth="1"/>
    <col min="6668" max="6668" width="7.7109375" style="244" customWidth="1"/>
    <col min="6669" max="6912" width="8.7109375" style="244" customWidth="1"/>
    <col min="6913" max="6913" width="6.28125" style="244" customWidth="1"/>
    <col min="6914" max="6914" width="1.1484375" style="244" customWidth="1"/>
    <col min="6915" max="6915" width="49.421875" style="244" customWidth="1"/>
    <col min="6916" max="6916" width="0.71875" style="244" customWidth="1"/>
    <col min="6917" max="6917" width="5.421875" style="244" customWidth="1"/>
    <col min="6918" max="6918" width="0.71875" style="244" customWidth="1"/>
    <col min="6919" max="6919" width="10.421875" style="244" customWidth="1"/>
    <col min="6920" max="6920" width="0.71875" style="244" customWidth="1"/>
    <col min="6921" max="6921" width="10.421875" style="244" customWidth="1"/>
    <col min="6922" max="6922" width="2.7109375" style="244" customWidth="1"/>
    <col min="6923" max="6923" width="5.28125" style="244" customWidth="1"/>
    <col min="6924" max="6924" width="7.7109375" style="244" customWidth="1"/>
    <col min="6925" max="7168" width="8.7109375" style="244" customWidth="1"/>
    <col min="7169" max="7169" width="6.28125" style="244" customWidth="1"/>
    <col min="7170" max="7170" width="1.1484375" style="244" customWidth="1"/>
    <col min="7171" max="7171" width="49.421875" style="244" customWidth="1"/>
    <col min="7172" max="7172" width="0.71875" style="244" customWidth="1"/>
    <col min="7173" max="7173" width="5.421875" style="244" customWidth="1"/>
    <col min="7174" max="7174" width="0.71875" style="244" customWidth="1"/>
    <col min="7175" max="7175" width="10.421875" style="244" customWidth="1"/>
    <col min="7176" max="7176" width="0.71875" style="244" customWidth="1"/>
    <col min="7177" max="7177" width="10.421875" style="244" customWidth="1"/>
    <col min="7178" max="7178" width="2.7109375" style="244" customWidth="1"/>
    <col min="7179" max="7179" width="5.28125" style="244" customWidth="1"/>
    <col min="7180" max="7180" width="7.7109375" style="244" customWidth="1"/>
    <col min="7181" max="7424" width="8.7109375" style="244" customWidth="1"/>
    <col min="7425" max="7425" width="6.28125" style="244" customWidth="1"/>
    <col min="7426" max="7426" width="1.1484375" style="244" customWidth="1"/>
    <col min="7427" max="7427" width="49.421875" style="244" customWidth="1"/>
    <col min="7428" max="7428" width="0.71875" style="244" customWidth="1"/>
    <col min="7429" max="7429" width="5.421875" style="244" customWidth="1"/>
    <col min="7430" max="7430" width="0.71875" style="244" customWidth="1"/>
    <col min="7431" max="7431" width="10.421875" style="244" customWidth="1"/>
    <col min="7432" max="7432" width="0.71875" style="244" customWidth="1"/>
    <col min="7433" max="7433" width="10.421875" style="244" customWidth="1"/>
    <col min="7434" max="7434" width="2.7109375" style="244" customWidth="1"/>
    <col min="7435" max="7435" width="5.28125" style="244" customWidth="1"/>
    <col min="7436" max="7436" width="7.7109375" style="244" customWidth="1"/>
    <col min="7437" max="7680" width="8.7109375" style="244" customWidth="1"/>
    <col min="7681" max="7681" width="6.28125" style="244" customWidth="1"/>
    <col min="7682" max="7682" width="1.1484375" style="244" customWidth="1"/>
    <col min="7683" max="7683" width="49.421875" style="244" customWidth="1"/>
    <col min="7684" max="7684" width="0.71875" style="244" customWidth="1"/>
    <col min="7685" max="7685" width="5.421875" style="244" customWidth="1"/>
    <col min="7686" max="7686" width="0.71875" style="244" customWidth="1"/>
    <col min="7687" max="7687" width="10.421875" style="244" customWidth="1"/>
    <col min="7688" max="7688" width="0.71875" style="244" customWidth="1"/>
    <col min="7689" max="7689" width="10.421875" style="244" customWidth="1"/>
    <col min="7690" max="7690" width="2.7109375" style="244" customWidth="1"/>
    <col min="7691" max="7691" width="5.28125" style="244" customWidth="1"/>
    <col min="7692" max="7692" width="7.7109375" style="244" customWidth="1"/>
    <col min="7693" max="7936" width="8.7109375" style="244" customWidth="1"/>
    <col min="7937" max="7937" width="6.28125" style="244" customWidth="1"/>
    <col min="7938" max="7938" width="1.1484375" style="244" customWidth="1"/>
    <col min="7939" max="7939" width="49.421875" style="244" customWidth="1"/>
    <col min="7940" max="7940" width="0.71875" style="244" customWidth="1"/>
    <col min="7941" max="7941" width="5.421875" style="244" customWidth="1"/>
    <col min="7942" max="7942" width="0.71875" style="244" customWidth="1"/>
    <col min="7943" max="7943" width="10.421875" style="244" customWidth="1"/>
    <col min="7944" max="7944" width="0.71875" style="244" customWidth="1"/>
    <col min="7945" max="7945" width="10.421875" style="244" customWidth="1"/>
    <col min="7946" max="7946" width="2.7109375" style="244" customWidth="1"/>
    <col min="7947" max="7947" width="5.28125" style="244" customWidth="1"/>
    <col min="7948" max="7948" width="7.7109375" style="244" customWidth="1"/>
    <col min="7949" max="8192" width="8.7109375" style="244" customWidth="1"/>
    <col min="8193" max="8193" width="6.28125" style="244" customWidth="1"/>
    <col min="8194" max="8194" width="1.1484375" style="244" customWidth="1"/>
    <col min="8195" max="8195" width="49.421875" style="244" customWidth="1"/>
    <col min="8196" max="8196" width="0.71875" style="244" customWidth="1"/>
    <col min="8197" max="8197" width="5.421875" style="244" customWidth="1"/>
    <col min="8198" max="8198" width="0.71875" style="244" customWidth="1"/>
    <col min="8199" max="8199" width="10.421875" style="244" customWidth="1"/>
    <col min="8200" max="8200" width="0.71875" style="244" customWidth="1"/>
    <col min="8201" max="8201" width="10.421875" style="244" customWidth="1"/>
    <col min="8202" max="8202" width="2.7109375" style="244" customWidth="1"/>
    <col min="8203" max="8203" width="5.28125" style="244" customWidth="1"/>
    <col min="8204" max="8204" width="7.7109375" style="244" customWidth="1"/>
    <col min="8205" max="8448" width="8.7109375" style="244" customWidth="1"/>
    <col min="8449" max="8449" width="6.28125" style="244" customWidth="1"/>
    <col min="8450" max="8450" width="1.1484375" style="244" customWidth="1"/>
    <col min="8451" max="8451" width="49.421875" style="244" customWidth="1"/>
    <col min="8452" max="8452" width="0.71875" style="244" customWidth="1"/>
    <col min="8453" max="8453" width="5.421875" style="244" customWidth="1"/>
    <col min="8454" max="8454" width="0.71875" style="244" customWidth="1"/>
    <col min="8455" max="8455" width="10.421875" style="244" customWidth="1"/>
    <col min="8456" max="8456" width="0.71875" style="244" customWidth="1"/>
    <col min="8457" max="8457" width="10.421875" style="244" customWidth="1"/>
    <col min="8458" max="8458" width="2.7109375" style="244" customWidth="1"/>
    <col min="8459" max="8459" width="5.28125" style="244" customWidth="1"/>
    <col min="8460" max="8460" width="7.7109375" style="244" customWidth="1"/>
    <col min="8461" max="8704" width="8.7109375" style="244" customWidth="1"/>
    <col min="8705" max="8705" width="6.28125" style="244" customWidth="1"/>
    <col min="8706" max="8706" width="1.1484375" style="244" customWidth="1"/>
    <col min="8707" max="8707" width="49.421875" style="244" customWidth="1"/>
    <col min="8708" max="8708" width="0.71875" style="244" customWidth="1"/>
    <col min="8709" max="8709" width="5.421875" style="244" customWidth="1"/>
    <col min="8710" max="8710" width="0.71875" style="244" customWidth="1"/>
    <col min="8711" max="8711" width="10.421875" style="244" customWidth="1"/>
    <col min="8712" max="8712" width="0.71875" style="244" customWidth="1"/>
    <col min="8713" max="8713" width="10.421875" style="244" customWidth="1"/>
    <col min="8714" max="8714" width="2.7109375" style="244" customWidth="1"/>
    <col min="8715" max="8715" width="5.28125" style="244" customWidth="1"/>
    <col min="8716" max="8716" width="7.7109375" style="244" customWidth="1"/>
    <col min="8717" max="8960" width="8.7109375" style="244" customWidth="1"/>
    <col min="8961" max="8961" width="6.28125" style="244" customWidth="1"/>
    <col min="8962" max="8962" width="1.1484375" style="244" customWidth="1"/>
    <col min="8963" max="8963" width="49.421875" style="244" customWidth="1"/>
    <col min="8964" max="8964" width="0.71875" style="244" customWidth="1"/>
    <col min="8965" max="8965" width="5.421875" style="244" customWidth="1"/>
    <col min="8966" max="8966" width="0.71875" style="244" customWidth="1"/>
    <col min="8967" max="8967" width="10.421875" style="244" customWidth="1"/>
    <col min="8968" max="8968" width="0.71875" style="244" customWidth="1"/>
    <col min="8969" max="8969" width="10.421875" style="244" customWidth="1"/>
    <col min="8970" max="8970" width="2.7109375" style="244" customWidth="1"/>
    <col min="8971" max="8971" width="5.28125" style="244" customWidth="1"/>
    <col min="8972" max="8972" width="7.7109375" style="244" customWidth="1"/>
    <col min="8973" max="9216" width="8.7109375" style="244" customWidth="1"/>
    <col min="9217" max="9217" width="6.28125" style="244" customWidth="1"/>
    <col min="9218" max="9218" width="1.1484375" style="244" customWidth="1"/>
    <col min="9219" max="9219" width="49.421875" style="244" customWidth="1"/>
    <col min="9220" max="9220" width="0.71875" style="244" customWidth="1"/>
    <col min="9221" max="9221" width="5.421875" style="244" customWidth="1"/>
    <col min="9222" max="9222" width="0.71875" style="244" customWidth="1"/>
    <col min="9223" max="9223" width="10.421875" style="244" customWidth="1"/>
    <col min="9224" max="9224" width="0.71875" style="244" customWidth="1"/>
    <col min="9225" max="9225" width="10.421875" style="244" customWidth="1"/>
    <col min="9226" max="9226" width="2.7109375" style="244" customWidth="1"/>
    <col min="9227" max="9227" width="5.28125" style="244" customWidth="1"/>
    <col min="9228" max="9228" width="7.7109375" style="244" customWidth="1"/>
    <col min="9229" max="9472" width="8.7109375" style="244" customWidth="1"/>
    <col min="9473" max="9473" width="6.28125" style="244" customWidth="1"/>
    <col min="9474" max="9474" width="1.1484375" style="244" customWidth="1"/>
    <col min="9475" max="9475" width="49.421875" style="244" customWidth="1"/>
    <col min="9476" max="9476" width="0.71875" style="244" customWidth="1"/>
    <col min="9477" max="9477" width="5.421875" style="244" customWidth="1"/>
    <col min="9478" max="9478" width="0.71875" style="244" customWidth="1"/>
    <col min="9479" max="9479" width="10.421875" style="244" customWidth="1"/>
    <col min="9480" max="9480" width="0.71875" style="244" customWidth="1"/>
    <col min="9481" max="9481" width="10.421875" style="244" customWidth="1"/>
    <col min="9482" max="9482" width="2.7109375" style="244" customWidth="1"/>
    <col min="9483" max="9483" width="5.28125" style="244" customWidth="1"/>
    <col min="9484" max="9484" width="7.7109375" style="244" customWidth="1"/>
    <col min="9485" max="9728" width="8.7109375" style="244" customWidth="1"/>
    <col min="9729" max="9729" width="6.28125" style="244" customWidth="1"/>
    <col min="9730" max="9730" width="1.1484375" style="244" customWidth="1"/>
    <col min="9731" max="9731" width="49.421875" style="244" customWidth="1"/>
    <col min="9732" max="9732" width="0.71875" style="244" customWidth="1"/>
    <col min="9733" max="9733" width="5.421875" style="244" customWidth="1"/>
    <col min="9734" max="9734" width="0.71875" style="244" customWidth="1"/>
    <col min="9735" max="9735" width="10.421875" style="244" customWidth="1"/>
    <col min="9736" max="9736" width="0.71875" style="244" customWidth="1"/>
    <col min="9737" max="9737" width="10.421875" style="244" customWidth="1"/>
    <col min="9738" max="9738" width="2.7109375" style="244" customWidth="1"/>
    <col min="9739" max="9739" width="5.28125" style="244" customWidth="1"/>
    <col min="9740" max="9740" width="7.7109375" style="244" customWidth="1"/>
    <col min="9741" max="9984" width="8.7109375" style="244" customWidth="1"/>
    <col min="9985" max="9985" width="6.28125" style="244" customWidth="1"/>
    <col min="9986" max="9986" width="1.1484375" style="244" customWidth="1"/>
    <col min="9987" max="9987" width="49.421875" style="244" customWidth="1"/>
    <col min="9988" max="9988" width="0.71875" style="244" customWidth="1"/>
    <col min="9989" max="9989" width="5.421875" style="244" customWidth="1"/>
    <col min="9990" max="9990" width="0.71875" style="244" customWidth="1"/>
    <col min="9991" max="9991" width="10.421875" style="244" customWidth="1"/>
    <col min="9992" max="9992" width="0.71875" style="244" customWidth="1"/>
    <col min="9993" max="9993" width="10.421875" style="244" customWidth="1"/>
    <col min="9994" max="9994" width="2.7109375" style="244" customWidth="1"/>
    <col min="9995" max="9995" width="5.28125" style="244" customWidth="1"/>
    <col min="9996" max="9996" width="7.7109375" style="244" customWidth="1"/>
    <col min="9997" max="10240" width="8.7109375" style="244" customWidth="1"/>
    <col min="10241" max="10241" width="6.28125" style="244" customWidth="1"/>
    <col min="10242" max="10242" width="1.1484375" style="244" customWidth="1"/>
    <col min="10243" max="10243" width="49.421875" style="244" customWidth="1"/>
    <col min="10244" max="10244" width="0.71875" style="244" customWidth="1"/>
    <col min="10245" max="10245" width="5.421875" style="244" customWidth="1"/>
    <col min="10246" max="10246" width="0.71875" style="244" customWidth="1"/>
    <col min="10247" max="10247" width="10.421875" style="244" customWidth="1"/>
    <col min="10248" max="10248" width="0.71875" style="244" customWidth="1"/>
    <col min="10249" max="10249" width="10.421875" style="244" customWidth="1"/>
    <col min="10250" max="10250" width="2.7109375" style="244" customWidth="1"/>
    <col min="10251" max="10251" width="5.28125" style="244" customWidth="1"/>
    <col min="10252" max="10252" width="7.7109375" style="244" customWidth="1"/>
    <col min="10253" max="10496" width="8.7109375" style="244" customWidth="1"/>
    <col min="10497" max="10497" width="6.28125" style="244" customWidth="1"/>
    <col min="10498" max="10498" width="1.1484375" style="244" customWidth="1"/>
    <col min="10499" max="10499" width="49.421875" style="244" customWidth="1"/>
    <col min="10500" max="10500" width="0.71875" style="244" customWidth="1"/>
    <col min="10501" max="10501" width="5.421875" style="244" customWidth="1"/>
    <col min="10502" max="10502" width="0.71875" style="244" customWidth="1"/>
    <col min="10503" max="10503" width="10.421875" style="244" customWidth="1"/>
    <col min="10504" max="10504" width="0.71875" style="244" customWidth="1"/>
    <col min="10505" max="10505" width="10.421875" style="244" customWidth="1"/>
    <col min="10506" max="10506" width="2.7109375" style="244" customWidth="1"/>
    <col min="10507" max="10507" width="5.28125" style="244" customWidth="1"/>
    <col min="10508" max="10508" width="7.7109375" style="244" customWidth="1"/>
    <col min="10509" max="10752" width="8.7109375" style="244" customWidth="1"/>
    <col min="10753" max="10753" width="6.28125" style="244" customWidth="1"/>
    <col min="10754" max="10754" width="1.1484375" style="244" customWidth="1"/>
    <col min="10755" max="10755" width="49.421875" style="244" customWidth="1"/>
    <col min="10756" max="10756" width="0.71875" style="244" customWidth="1"/>
    <col min="10757" max="10757" width="5.421875" style="244" customWidth="1"/>
    <col min="10758" max="10758" width="0.71875" style="244" customWidth="1"/>
    <col min="10759" max="10759" width="10.421875" style="244" customWidth="1"/>
    <col min="10760" max="10760" width="0.71875" style="244" customWidth="1"/>
    <col min="10761" max="10761" width="10.421875" style="244" customWidth="1"/>
    <col min="10762" max="10762" width="2.7109375" style="244" customWidth="1"/>
    <col min="10763" max="10763" width="5.28125" style="244" customWidth="1"/>
    <col min="10764" max="10764" width="7.7109375" style="244" customWidth="1"/>
    <col min="10765" max="11008" width="8.7109375" style="244" customWidth="1"/>
    <col min="11009" max="11009" width="6.28125" style="244" customWidth="1"/>
    <col min="11010" max="11010" width="1.1484375" style="244" customWidth="1"/>
    <col min="11011" max="11011" width="49.421875" style="244" customWidth="1"/>
    <col min="11012" max="11012" width="0.71875" style="244" customWidth="1"/>
    <col min="11013" max="11013" width="5.421875" style="244" customWidth="1"/>
    <col min="11014" max="11014" width="0.71875" style="244" customWidth="1"/>
    <col min="11015" max="11015" width="10.421875" style="244" customWidth="1"/>
    <col min="11016" max="11016" width="0.71875" style="244" customWidth="1"/>
    <col min="11017" max="11017" width="10.421875" style="244" customWidth="1"/>
    <col min="11018" max="11018" width="2.7109375" style="244" customWidth="1"/>
    <col min="11019" max="11019" width="5.28125" style="244" customWidth="1"/>
    <col min="11020" max="11020" width="7.7109375" style="244" customWidth="1"/>
    <col min="11021" max="11264" width="8.7109375" style="244" customWidth="1"/>
    <col min="11265" max="11265" width="6.28125" style="244" customWidth="1"/>
    <col min="11266" max="11266" width="1.1484375" style="244" customWidth="1"/>
    <col min="11267" max="11267" width="49.421875" style="244" customWidth="1"/>
    <col min="11268" max="11268" width="0.71875" style="244" customWidth="1"/>
    <col min="11269" max="11269" width="5.421875" style="244" customWidth="1"/>
    <col min="11270" max="11270" width="0.71875" style="244" customWidth="1"/>
    <col min="11271" max="11271" width="10.421875" style="244" customWidth="1"/>
    <col min="11272" max="11272" width="0.71875" style="244" customWidth="1"/>
    <col min="11273" max="11273" width="10.421875" style="244" customWidth="1"/>
    <col min="11274" max="11274" width="2.7109375" style="244" customWidth="1"/>
    <col min="11275" max="11275" width="5.28125" style="244" customWidth="1"/>
    <col min="11276" max="11276" width="7.7109375" style="244" customWidth="1"/>
    <col min="11277" max="11520" width="8.7109375" style="244" customWidth="1"/>
    <col min="11521" max="11521" width="6.28125" style="244" customWidth="1"/>
    <col min="11522" max="11522" width="1.1484375" style="244" customWidth="1"/>
    <col min="11523" max="11523" width="49.421875" style="244" customWidth="1"/>
    <col min="11524" max="11524" width="0.71875" style="244" customWidth="1"/>
    <col min="11525" max="11525" width="5.421875" style="244" customWidth="1"/>
    <col min="11526" max="11526" width="0.71875" style="244" customWidth="1"/>
    <col min="11527" max="11527" width="10.421875" style="244" customWidth="1"/>
    <col min="11528" max="11528" width="0.71875" style="244" customWidth="1"/>
    <col min="11529" max="11529" width="10.421875" style="244" customWidth="1"/>
    <col min="11530" max="11530" width="2.7109375" style="244" customWidth="1"/>
    <col min="11531" max="11531" width="5.28125" style="244" customWidth="1"/>
    <col min="11532" max="11532" width="7.7109375" style="244" customWidth="1"/>
    <col min="11533" max="11776" width="8.7109375" style="244" customWidth="1"/>
    <col min="11777" max="11777" width="6.28125" style="244" customWidth="1"/>
    <col min="11778" max="11778" width="1.1484375" style="244" customWidth="1"/>
    <col min="11779" max="11779" width="49.421875" style="244" customWidth="1"/>
    <col min="11780" max="11780" width="0.71875" style="244" customWidth="1"/>
    <col min="11781" max="11781" width="5.421875" style="244" customWidth="1"/>
    <col min="11782" max="11782" width="0.71875" style="244" customWidth="1"/>
    <col min="11783" max="11783" width="10.421875" style="244" customWidth="1"/>
    <col min="11784" max="11784" width="0.71875" style="244" customWidth="1"/>
    <col min="11785" max="11785" width="10.421875" style="244" customWidth="1"/>
    <col min="11786" max="11786" width="2.7109375" style="244" customWidth="1"/>
    <col min="11787" max="11787" width="5.28125" style="244" customWidth="1"/>
    <col min="11788" max="11788" width="7.7109375" style="244" customWidth="1"/>
    <col min="11789" max="12032" width="8.7109375" style="244" customWidth="1"/>
    <col min="12033" max="12033" width="6.28125" style="244" customWidth="1"/>
    <col min="12034" max="12034" width="1.1484375" style="244" customWidth="1"/>
    <col min="12035" max="12035" width="49.421875" style="244" customWidth="1"/>
    <col min="12036" max="12036" width="0.71875" style="244" customWidth="1"/>
    <col min="12037" max="12037" width="5.421875" style="244" customWidth="1"/>
    <col min="12038" max="12038" width="0.71875" style="244" customWidth="1"/>
    <col min="12039" max="12039" width="10.421875" style="244" customWidth="1"/>
    <col min="12040" max="12040" width="0.71875" style="244" customWidth="1"/>
    <col min="12041" max="12041" width="10.421875" style="244" customWidth="1"/>
    <col min="12042" max="12042" width="2.7109375" style="244" customWidth="1"/>
    <col min="12043" max="12043" width="5.28125" style="244" customWidth="1"/>
    <col min="12044" max="12044" width="7.7109375" style="244" customWidth="1"/>
    <col min="12045" max="12288" width="8.7109375" style="244" customWidth="1"/>
    <col min="12289" max="12289" width="6.28125" style="244" customWidth="1"/>
    <col min="12290" max="12290" width="1.1484375" style="244" customWidth="1"/>
    <col min="12291" max="12291" width="49.421875" style="244" customWidth="1"/>
    <col min="12292" max="12292" width="0.71875" style="244" customWidth="1"/>
    <col min="12293" max="12293" width="5.421875" style="244" customWidth="1"/>
    <col min="12294" max="12294" width="0.71875" style="244" customWidth="1"/>
    <col min="12295" max="12295" width="10.421875" style="244" customWidth="1"/>
    <col min="12296" max="12296" width="0.71875" style="244" customWidth="1"/>
    <col min="12297" max="12297" width="10.421875" style="244" customWidth="1"/>
    <col min="12298" max="12298" width="2.7109375" style="244" customWidth="1"/>
    <col min="12299" max="12299" width="5.28125" style="244" customWidth="1"/>
    <col min="12300" max="12300" width="7.7109375" style="244" customWidth="1"/>
    <col min="12301" max="12544" width="8.7109375" style="244" customWidth="1"/>
    <col min="12545" max="12545" width="6.28125" style="244" customWidth="1"/>
    <col min="12546" max="12546" width="1.1484375" style="244" customWidth="1"/>
    <col min="12547" max="12547" width="49.421875" style="244" customWidth="1"/>
    <col min="12548" max="12548" width="0.71875" style="244" customWidth="1"/>
    <col min="12549" max="12549" width="5.421875" style="244" customWidth="1"/>
    <col min="12550" max="12550" width="0.71875" style="244" customWidth="1"/>
    <col min="12551" max="12551" width="10.421875" style="244" customWidth="1"/>
    <col min="12552" max="12552" width="0.71875" style="244" customWidth="1"/>
    <col min="12553" max="12553" width="10.421875" style="244" customWidth="1"/>
    <col min="12554" max="12554" width="2.7109375" style="244" customWidth="1"/>
    <col min="12555" max="12555" width="5.28125" style="244" customWidth="1"/>
    <col min="12556" max="12556" width="7.7109375" style="244" customWidth="1"/>
    <col min="12557" max="12800" width="8.7109375" style="244" customWidth="1"/>
    <col min="12801" max="12801" width="6.28125" style="244" customWidth="1"/>
    <col min="12802" max="12802" width="1.1484375" style="244" customWidth="1"/>
    <col min="12803" max="12803" width="49.421875" style="244" customWidth="1"/>
    <col min="12804" max="12804" width="0.71875" style="244" customWidth="1"/>
    <col min="12805" max="12805" width="5.421875" style="244" customWidth="1"/>
    <col min="12806" max="12806" width="0.71875" style="244" customWidth="1"/>
    <col min="12807" max="12807" width="10.421875" style="244" customWidth="1"/>
    <col min="12808" max="12808" width="0.71875" style="244" customWidth="1"/>
    <col min="12809" max="12809" width="10.421875" style="244" customWidth="1"/>
    <col min="12810" max="12810" width="2.7109375" style="244" customWidth="1"/>
    <col min="12811" max="12811" width="5.28125" style="244" customWidth="1"/>
    <col min="12812" max="12812" width="7.7109375" style="244" customWidth="1"/>
    <col min="12813" max="13056" width="8.7109375" style="244" customWidth="1"/>
    <col min="13057" max="13057" width="6.28125" style="244" customWidth="1"/>
    <col min="13058" max="13058" width="1.1484375" style="244" customWidth="1"/>
    <col min="13059" max="13059" width="49.421875" style="244" customWidth="1"/>
    <col min="13060" max="13060" width="0.71875" style="244" customWidth="1"/>
    <col min="13061" max="13061" width="5.421875" style="244" customWidth="1"/>
    <col min="13062" max="13062" width="0.71875" style="244" customWidth="1"/>
    <col min="13063" max="13063" width="10.421875" style="244" customWidth="1"/>
    <col min="13064" max="13064" width="0.71875" style="244" customWidth="1"/>
    <col min="13065" max="13065" width="10.421875" style="244" customWidth="1"/>
    <col min="13066" max="13066" width="2.7109375" style="244" customWidth="1"/>
    <col min="13067" max="13067" width="5.28125" style="244" customWidth="1"/>
    <col min="13068" max="13068" width="7.7109375" style="244" customWidth="1"/>
    <col min="13069" max="13312" width="8.7109375" style="244" customWidth="1"/>
    <col min="13313" max="13313" width="6.28125" style="244" customWidth="1"/>
    <col min="13314" max="13314" width="1.1484375" style="244" customWidth="1"/>
    <col min="13315" max="13315" width="49.421875" style="244" customWidth="1"/>
    <col min="13316" max="13316" width="0.71875" style="244" customWidth="1"/>
    <col min="13317" max="13317" width="5.421875" style="244" customWidth="1"/>
    <col min="13318" max="13318" width="0.71875" style="244" customWidth="1"/>
    <col min="13319" max="13319" width="10.421875" style="244" customWidth="1"/>
    <col min="13320" max="13320" width="0.71875" style="244" customWidth="1"/>
    <col min="13321" max="13321" width="10.421875" style="244" customWidth="1"/>
    <col min="13322" max="13322" width="2.7109375" style="244" customWidth="1"/>
    <col min="13323" max="13323" width="5.28125" style="244" customWidth="1"/>
    <col min="13324" max="13324" width="7.7109375" style="244" customWidth="1"/>
    <col min="13325" max="13568" width="8.7109375" style="244" customWidth="1"/>
    <col min="13569" max="13569" width="6.28125" style="244" customWidth="1"/>
    <col min="13570" max="13570" width="1.1484375" style="244" customWidth="1"/>
    <col min="13571" max="13571" width="49.421875" style="244" customWidth="1"/>
    <col min="13572" max="13572" width="0.71875" style="244" customWidth="1"/>
    <col min="13573" max="13573" width="5.421875" style="244" customWidth="1"/>
    <col min="13574" max="13574" width="0.71875" style="244" customWidth="1"/>
    <col min="13575" max="13575" width="10.421875" style="244" customWidth="1"/>
    <col min="13576" max="13576" width="0.71875" style="244" customWidth="1"/>
    <col min="13577" max="13577" width="10.421875" style="244" customWidth="1"/>
    <col min="13578" max="13578" width="2.7109375" style="244" customWidth="1"/>
    <col min="13579" max="13579" width="5.28125" style="244" customWidth="1"/>
    <col min="13580" max="13580" width="7.7109375" style="244" customWidth="1"/>
    <col min="13581" max="13824" width="8.7109375" style="244" customWidth="1"/>
    <col min="13825" max="13825" width="6.28125" style="244" customWidth="1"/>
    <col min="13826" max="13826" width="1.1484375" style="244" customWidth="1"/>
    <col min="13827" max="13827" width="49.421875" style="244" customWidth="1"/>
    <col min="13828" max="13828" width="0.71875" style="244" customWidth="1"/>
    <col min="13829" max="13829" width="5.421875" style="244" customWidth="1"/>
    <col min="13830" max="13830" width="0.71875" style="244" customWidth="1"/>
    <col min="13831" max="13831" width="10.421875" style="244" customWidth="1"/>
    <col min="13832" max="13832" width="0.71875" style="244" customWidth="1"/>
    <col min="13833" max="13833" width="10.421875" style="244" customWidth="1"/>
    <col min="13834" max="13834" width="2.7109375" style="244" customWidth="1"/>
    <col min="13835" max="13835" width="5.28125" style="244" customWidth="1"/>
    <col min="13836" max="13836" width="7.7109375" style="244" customWidth="1"/>
    <col min="13837" max="14080" width="8.7109375" style="244" customWidth="1"/>
    <col min="14081" max="14081" width="6.28125" style="244" customWidth="1"/>
    <col min="14082" max="14082" width="1.1484375" style="244" customWidth="1"/>
    <col min="14083" max="14083" width="49.421875" style="244" customWidth="1"/>
    <col min="14084" max="14084" width="0.71875" style="244" customWidth="1"/>
    <col min="14085" max="14085" width="5.421875" style="244" customWidth="1"/>
    <col min="14086" max="14086" width="0.71875" style="244" customWidth="1"/>
    <col min="14087" max="14087" width="10.421875" style="244" customWidth="1"/>
    <col min="14088" max="14088" width="0.71875" style="244" customWidth="1"/>
    <col min="14089" max="14089" width="10.421875" style="244" customWidth="1"/>
    <col min="14090" max="14090" width="2.7109375" style="244" customWidth="1"/>
    <col min="14091" max="14091" width="5.28125" style="244" customWidth="1"/>
    <col min="14092" max="14092" width="7.7109375" style="244" customWidth="1"/>
    <col min="14093" max="14336" width="8.7109375" style="244" customWidth="1"/>
    <col min="14337" max="14337" width="6.28125" style="244" customWidth="1"/>
    <col min="14338" max="14338" width="1.1484375" style="244" customWidth="1"/>
    <col min="14339" max="14339" width="49.421875" style="244" customWidth="1"/>
    <col min="14340" max="14340" width="0.71875" style="244" customWidth="1"/>
    <col min="14341" max="14341" width="5.421875" style="244" customWidth="1"/>
    <col min="14342" max="14342" width="0.71875" style="244" customWidth="1"/>
    <col min="14343" max="14343" width="10.421875" style="244" customWidth="1"/>
    <col min="14344" max="14344" width="0.71875" style="244" customWidth="1"/>
    <col min="14345" max="14345" width="10.421875" style="244" customWidth="1"/>
    <col min="14346" max="14346" width="2.7109375" style="244" customWidth="1"/>
    <col min="14347" max="14347" width="5.28125" style="244" customWidth="1"/>
    <col min="14348" max="14348" width="7.7109375" style="244" customWidth="1"/>
    <col min="14349" max="14592" width="8.7109375" style="244" customWidth="1"/>
    <col min="14593" max="14593" width="6.28125" style="244" customWidth="1"/>
    <col min="14594" max="14594" width="1.1484375" style="244" customWidth="1"/>
    <col min="14595" max="14595" width="49.421875" style="244" customWidth="1"/>
    <col min="14596" max="14596" width="0.71875" style="244" customWidth="1"/>
    <col min="14597" max="14597" width="5.421875" style="244" customWidth="1"/>
    <col min="14598" max="14598" width="0.71875" style="244" customWidth="1"/>
    <col min="14599" max="14599" width="10.421875" style="244" customWidth="1"/>
    <col min="14600" max="14600" width="0.71875" style="244" customWidth="1"/>
    <col min="14601" max="14601" width="10.421875" style="244" customWidth="1"/>
    <col min="14602" max="14602" width="2.7109375" style="244" customWidth="1"/>
    <col min="14603" max="14603" width="5.28125" style="244" customWidth="1"/>
    <col min="14604" max="14604" width="7.7109375" style="244" customWidth="1"/>
    <col min="14605" max="14848" width="8.7109375" style="244" customWidth="1"/>
    <col min="14849" max="14849" width="6.28125" style="244" customWidth="1"/>
    <col min="14850" max="14850" width="1.1484375" style="244" customWidth="1"/>
    <col min="14851" max="14851" width="49.421875" style="244" customWidth="1"/>
    <col min="14852" max="14852" width="0.71875" style="244" customWidth="1"/>
    <col min="14853" max="14853" width="5.421875" style="244" customWidth="1"/>
    <col min="14854" max="14854" width="0.71875" style="244" customWidth="1"/>
    <col min="14855" max="14855" width="10.421875" style="244" customWidth="1"/>
    <col min="14856" max="14856" width="0.71875" style="244" customWidth="1"/>
    <col min="14857" max="14857" width="10.421875" style="244" customWidth="1"/>
    <col min="14858" max="14858" width="2.7109375" style="244" customWidth="1"/>
    <col min="14859" max="14859" width="5.28125" style="244" customWidth="1"/>
    <col min="14860" max="14860" width="7.7109375" style="244" customWidth="1"/>
    <col min="14861" max="15104" width="8.7109375" style="244" customWidth="1"/>
    <col min="15105" max="15105" width="6.28125" style="244" customWidth="1"/>
    <col min="15106" max="15106" width="1.1484375" style="244" customWidth="1"/>
    <col min="15107" max="15107" width="49.421875" style="244" customWidth="1"/>
    <col min="15108" max="15108" width="0.71875" style="244" customWidth="1"/>
    <col min="15109" max="15109" width="5.421875" style="244" customWidth="1"/>
    <col min="15110" max="15110" width="0.71875" style="244" customWidth="1"/>
    <col min="15111" max="15111" width="10.421875" style="244" customWidth="1"/>
    <col min="15112" max="15112" width="0.71875" style="244" customWidth="1"/>
    <col min="15113" max="15113" width="10.421875" style="244" customWidth="1"/>
    <col min="15114" max="15114" width="2.7109375" style="244" customWidth="1"/>
    <col min="15115" max="15115" width="5.28125" style="244" customWidth="1"/>
    <col min="15116" max="15116" width="7.7109375" style="244" customWidth="1"/>
    <col min="15117" max="15360" width="8.7109375" style="244" customWidth="1"/>
    <col min="15361" max="15361" width="6.28125" style="244" customWidth="1"/>
    <col min="15362" max="15362" width="1.1484375" style="244" customWidth="1"/>
    <col min="15363" max="15363" width="49.421875" style="244" customWidth="1"/>
    <col min="15364" max="15364" width="0.71875" style="244" customWidth="1"/>
    <col min="15365" max="15365" width="5.421875" style="244" customWidth="1"/>
    <col min="15366" max="15366" width="0.71875" style="244" customWidth="1"/>
    <col min="15367" max="15367" width="10.421875" style="244" customWidth="1"/>
    <col min="15368" max="15368" width="0.71875" style="244" customWidth="1"/>
    <col min="15369" max="15369" width="10.421875" style="244" customWidth="1"/>
    <col min="15370" max="15370" width="2.7109375" style="244" customWidth="1"/>
    <col min="15371" max="15371" width="5.28125" style="244" customWidth="1"/>
    <col min="15372" max="15372" width="7.7109375" style="244" customWidth="1"/>
    <col min="15373" max="15616" width="8.7109375" style="244" customWidth="1"/>
    <col min="15617" max="15617" width="6.28125" style="244" customWidth="1"/>
    <col min="15618" max="15618" width="1.1484375" style="244" customWidth="1"/>
    <col min="15619" max="15619" width="49.421875" style="244" customWidth="1"/>
    <col min="15620" max="15620" width="0.71875" style="244" customWidth="1"/>
    <col min="15621" max="15621" width="5.421875" style="244" customWidth="1"/>
    <col min="15622" max="15622" width="0.71875" style="244" customWidth="1"/>
    <col min="15623" max="15623" width="10.421875" style="244" customWidth="1"/>
    <col min="15624" max="15624" width="0.71875" style="244" customWidth="1"/>
    <col min="15625" max="15625" width="10.421875" style="244" customWidth="1"/>
    <col min="15626" max="15626" width="2.7109375" style="244" customWidth="1"/>
    <col min="15627" max="15627" width="5.28125" style="244" customWidth="1"/>
    <col min="15628" max="15628" width="7.7109375" style="244" customWidth="1"/>
    <col min="15629" max="15872" width="8.7109375" style="244" customWidth="1"/>
    <col min="15873" max="15873" width="6.28125" style="244" customWidth="1"/>
    <col min="15874" max="15874" width="1.1484375" style="244" customWidth="1"/>
    <col min="15875" max="15875" width="49.421875" style="244" customWidth="1"/>
    <col min="15876" max="15876" width="0.71875" style="244" customWidth="1"/>
    <col min="15877" max="15877" width="5.421875" style="244" customWidth="1"/>
    <col min="15878" max="15878" width="0.71875" style="244" customWidth="1"/>
    <col min="15879" max="15879" width="10.421875" style="244" customWidth="1"/>
    <col min="15880" max="15880" width="0.71875" style="244" customWidth="1"/>
    <col min="15881" max="15881" width="10.421875" style="244" customWidth="1"/>
    <col min="15882" max="15882" width="2.7109375" style="244" customWidth="1"/>
    <col min="15883" max="15883" width="5.28125" style="244" customWidth="1"/>
    <col min="15884" max="15884" width="7.7109375" style="244" customWidth="1"/>
    <col min="15885" max="16128" width="8.7109375" style="244" customWidth="1"/>
    <col min="16129" max="16129" width="6.28125" style="244" customWidth="1"/>
    <col min="16130" max="16130" width="1.1484375" style="244" customWidth="1"/>
    <col min="16131" max="16131" width="49.421875" style="244" customWidth="1"/>
    <col min="16132" max="16132" width="0.71875" style="244" customWidth="1"/>
    <col min="16133" max="16133" width="5.421875" style="244" customWidth="1"/>
    <col min="16134" max="16134" width="0.71875" style="244" customWidth="1"/>
    <col min="16135" max="16135" width="10.421875" style="244" customWidth="1"/>
    <col min="16136" max="16136" width="0.71875" style="244" customWidth="1"/>
    <col min="16137" max="16137" width="10.421875" style="244" customWidth="1"/>
    <col min="16138" max="16138" width="2.7109375" style="244" customWidth="1"/>
    <col min="16139" max="16139" width="5.28125" style="244" customWidth="1"/>
    <col min="16140" max="16140" width="7.7109375" style="244" customWidth="1"/>
    <col min="16141" max="16384" width="8.7109375" style="244" customWidth="1"/>
  </cols>
  <sheetData>
    <row r="1" ht="15.75" customHeight="1">
      <c r="I1" s="251" t="s">
        <v>1559</v>
      </c>
    </row>
    <row r="2" spans="1:12" ht="20.25" customHeight="1">
      <c r="A2" s="444" t="s">
        <v>1560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</row>
    <row r="3" ht="15.75" customHeight="1"/>
    <row r="4" spans="1:13" ht="22.05" customHeight="1">
      <c r="A4" s="445" t="s">
        <v>1561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252"/>
    </row>
    <row r="5" spans="1:13" ht="22.05" customHeight="1">
      <c r="A5" s="446" t="s">
        <v>1562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252"/>
    </row>
    <row r="6" spans="1:13" ht="15.75" customHeight="1">
      <c r="A6" s="446" t="s">
        <v>1563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253"/>
    </row>
    <row r="7" ht="15.75" customHeight="1"/>
    <row r="8" ht="15.75" customHeight="1"/>
    <row r="9" spans="1:12" ht="30.75" customHeight="1">
      <c r="A9" s="254" t="s">
        <v>1564</v>
      </c>
      <c r="B9" s="255"/>
      <c r="C9" s="255" t="s">
        <v>1565</v>
      </c>
      <c r="D9" s="255"/>
      <c r="E9" s="254" t="s">
        <v>1566</v>
      </c>
      <c r="F9" s="255"/>
      <c r="G9" s="255" t="s">
        <v>1567</v>
      </c>
      <c r="H9" s="255"/>
      <c r="I9" s="255" t="s">
        <v>1568</v>
      </c>
      <c r="J9" s="255"/>
      <c r="K9" s="255" t="s">
        <v>1569</v>
      </c>
      <c r="L9" s="255" t="s">
        <v>1570</v>
      </c>
    </row>
    <row r="10" ht="15.75" customHeight="1"/>
    <row r="11" spans="3:12" ht="15.75" customHeight="1">
      <c r="C11" s="256" t="s">
        <v>1571</v>
      </c>
      <c r="L11" s="257"/>
    </row>
    <row r="12" ht="15.75" customHeight="1"/>
    <row r="13" ht="15.75" customHeight="1">
      <c r="C13" s="258" t="s">
        <v>1572</v>
      </c>
    </row>
    <row r="14" ht="15.75" customHeight="1"/>
    <row r="15" spans="1:12" ht="15.75" customHeight="1">
      <c r="A15" s="259">
        <v>222001</v>
      </c>
      <c r="B15" s="260"/>
      <c r="C15" s="261" t="s">
        <v>1573</v>
      </c>
      <c r="D15" s="260"/>
      <c r="E15" s="262">
        <v>1</v>
      </c>
      <c r="F15" s="260"/>
      <c r="G15" s="416"/>
      <c r="H15" s="260"/>
      <c r="I15" s="263">
        <f aca="true" t="shared" si="0" ref="I15:I26">E15*G15</f>
        <v>0</v>
      </c>
      <c r="J15" s="260"/>
      <c r="K15" s="264" t="s">
        <v>1574</v>
      </c>
      <c r="L15" s="264" t="s">
        <v>1575</v>
      </c>
    </row>
    <row r="16" spans="1:12" ht="15.75" customHeight="1">
      <c r="A16" s="259">
        <v>222002</v>
      </c>
      <c r="B16" s="260"/>
      <c r="C16" s="261" t="s">
        <v>1576</v>
      </c>
      <c r="D16" s="260"/>
      <c r="E16" s="262">
        <v>2</v>
      </c>
      <c r="F16" s="260"/>
      <c r="G16" s="416"/>
      <c r="H16" s="260"/>
      <c r="I16" s="263">
        <f t="shared" si="0"/>
        <v>0</v>
      </c>
      <c r="J16" s="260"/>
      <c r="K16" s="264" t="s">
        <v>1574</v>
      </c>
      <c r="L16" s="264" t="s">
        <v>1575</v>
      </c>
    </row>
    <row r="17" spans="1:12" ht="15.75" customHeight="1">
      <c r="A17" s="259">
        <v>222003</v>
      </c>
      <c r="B17" s="260"/>
      <c r="C17" s="261" t="s">
        <v>1577</v>
      </c>
      <c r="D17" s="260"/>
      <c r="E17" s="262">
        <v>1</v>
      </c>
      <c r="F17" s="260"/>
      <c r="G17" s="416"/>
      <c r="H17" s="260"/>
      <c r="I17" s="263">
        <f t="shared" si="0"/>
        <v>0</v>
      </c>
      <c r="J17" s="260"/>
      <c r="K17" s="264" t="s">
        <v>1574</v>
      </c>
      <c r="L17" s="264" t="s">
        <v>1575</v>
      </c>
    </row>
    <row r="18" spans="1:12" ht="15.75" customHeight="1">
      <c r="A18" s="259">
        <v>222004</v>
      </c>
      <c r="B18" s="260"/>
      <c r="C18" s="261" t="s">
        <v>1578</v>
      </c>
      <c r="D18" s="260"/>
      <c r="E18" s="262">
        <v>2</v>
      </c>
      <c r="F18" s="260"/>
      <c r="G18" s="416"/>
      <c r="H18" s="260"/>
      <c r="I18" s="263">
        <f>E18*G18</f>
        <v>0</v>
      </c>
      <c r="J18" s="260"/>
      <c r="K18" s="264" t="s">
        <v>1574</v>
      </c>
      <c r="L18" s="264" t="s">
        <v>1575</v>
      </c>
    </row>
    <row r="19" spans="1:12" ht="15.75" customHeight="1">
      <c r="A19" s="259">
        <v>222005</v>
      </c>
      <c r="B19" s="260"/>
      <c r="C19" s="261" t="s">
        <v>1579</v>
      </c>
      <c r="D19" s="260"/>
      <c r="E19" s="262">
        <v>2</v>
      </c>
      <c r="F19" s="260"/>
      <c r="G19" s="416"/>
      <c r="H19" s="260"/>
      <c r="I19" s="263">
        <f t="shared" si="0"/>
        <v>0</v>
      </c>
      <c r="J19" s="260"/>
      <c r="K19" s="264" t="s">
        <v>1574</v>
      </c>
      <c r="L19" s="264" t="s">
        <v>1575</v>
      </c>
    </row>
    <row r="20" spans="1:12" ht="15.75" customHeight="1">
      <c r="A20" s="259">
        <v>222006</v>
      </c>
      <c r="B20" s="260"/>
      <c r="C20" s="261" t="s">
        <v>1580</v>
      </c>
      <c r="D20" s="260"/>
      <c r="E20" s="262">
        <v>2</v>
      </c>
      <c r="F20" s="260"/>
      <c r="G20" s="416"/>
      <c r="H20" s="260"/>
      <c r="I20" s="263">
        <f t="shared" si="0"/>
        <v>0</v>
      </c>
      <c r="J20" s="260"/>
      <c r="K20" s="264" t="s">
        <v>1574</v>
      </c>
      <c r="L20" s="264" t="s">
        <v>1575</v>
      </c>
    </row>
    <row r="21" spans="1:12" ht="15.75" customHeight="1">
      <c r="A21" s="259">
        <v>222007</v>
      </c>
      <c r="B21" s="260"/>
      <c r="C21" s="261" t="s">
        <v>1581</v>
      </c>
      <c r="D21" s="260"/>
      <c r="E21" s="262">
        <v>20</v>
      </c>
      <c r="F21" s="260"/>
      <c r="G21" s="416"/>
      <c r="H21" s="260"/>
      <c r="I21" s="263">
        <f t="shared" si="0"/>
        <v>0</v>
      </c>
      <c r="J21" s="260"/>
      <c r="K21" s="264" t="s">
        <v>1574</v>
      </c>
      <c r="L21" s="264" t="s">
        <v>1575</v>
      </c>
    </row>
    <row r="22" spans="1:12" ht="15.75" customHeight="1">
      <c r="A22" s="259">
        <v>222008</v>
      </c>
      <c r="B22" s="260"/>
      <c r="C22" s="261" t="s">
        <v>1582</v>
      </c>
      <c r="D22" s="260"/>
      <c r="E22" s="262">
        <v>3</v>
      </c>
      <c r="F22" s="260"/>
      <c r="G22" s="416"/>
      <c r="H22" s="260"/>
      <c r="I22" s="263">
        <f t="shared" si="0"/>
        <v>0</v>
      </c>
      <c r="J22" s="260"/>
      <c r="K22" s="264" t="s">
        <v>1574</v>
      </c>
      <c r="L22" s="264" t="s">
        <v>1575</v>
      </c>
    </row>
    <row r="23" spans="1:12" ht="15.75" customHeight="1">
      <c r="A23" s="259">
        <v>222009</v>
      </c>
      <c r="B23" s="260"/>
      <c r="C23" s="261" t="s">
        <v>1583</v>
      </c>
      <c r="D23" s="260"/>
      <c r="E23" s="262">
        <v>30</v>
      </c>
      <c r="F23" s="260"/>
      <c r="G23" s="416"/>
      <c r="H23" s="260"/>
      <c r="I23" s="263">
        <f t="shared" si="0"/>
        <v>0</v>
      </c>
      <c r="J23" s="260"/>
      <c r="K23" s="264" t="s">
        <v>1574</v>
      </c>
      <c r="L23" s="264" t="s">
        <v>1575</v>
      </c>
    </row>
    <row r="24" spans="1:12" ht="15.75" customHeight="1">
      <c r="A24" s="259">
        <v>222010</v>
      </c>
      <c r="B24" s="260"/>
      <c r="C24" s="261" t="s">
        <v>1584</v>
      </c>
      <c r="D24" s="260"/>
      <c r="E24" s="262">
        <v>7</v>
      </c>
      <c r="F24" s="260"/>
      <c r="G24" s="416"/>
      <c r="H24" s="260"/>
      <c r="I24" s="263">
        <f t="shared" si="0"/>
        <v>0</v>
      </c>
      <c r="J24" s="260"/>
      <c r="K24" s="264" t="s">
        <v>1574</v>
      </c>
      <c r="L24" s="264" t="s">
        <v>1575</v>
      </c>
    </row>
    <row r="25" spans="1:12" ht="15.75" customHeight="1">
      <c r="A25" s="259">
        <v>222011</v>
      </c>
      <c r="B25" s="260"/>
      <c r="C25" s="261" t="s">
        <v>1585</v>
      </c>
      <c r="D25" s="260"/>
      <c r="E25" s="262">
        <v>1800</v>
      </c>
      <c r="F25" s="260"/>
      <c r="G25" s="416"/>
      <c r="H25" s="260"/>
      <c r="I25" s="263">
        <f t="shared" si="0"/>
        <v>0</v>
      </c>
      <c r="J25" s="260"/>
      <c r="K25" s="264" t="s">
        <v>1574</v>
      </c>
      <c r="L25" s="264" t="s">
        <v>1575</v>
      </c>
    </row>
    <row r="26" spans="1:12" ht="15.75" customHeight="1">
      <c r="A26" s="259">
        <v>222012</v>
      </c>
      <c r="B26" s="260"/>
      <c r="C26" s="261" t="s">
        <v>1586</v>
      </c>
      <c r="D26" s="260"/>
      <c r="E26" s="262">
        <v>40</v>
      </c>
      <c r="F26" s="260"/>
      <c r="G26" s="416"/>
      <c r="H26" s="260"/>
      <c r="I26" s="263">
        <f t="shared" si="0"/>
        <v>0</v>
      </c>
      <c r="J26" s="260"/>
      <c r="K26" s="264" t="s">
        <v>1574</v>
      </c>
      <c r="L26" s="264" t="s">
        <v>1575</v>
      </c>
    </row>
    <row r="27" spans="1:12" ht="15.75" customHeight="1">
      <c r="A27" s="259">
        <v>222013</v>
      </c>
      <c r="B27" s="260"/>
      <c r="C27" s="261" t="s">
        <v>1587</v>
      </c>
      <c r="D27" s="260"/>
      <c r="E27" s="262">
        <v>15</v>
      </c>
      <c r="F27" s="260"/>
      <c r="G27" s="416"/>
      <c r="H27" s="260"/>
      <c r="I27" s="263">
        <f>E27*G27</f>
        <v>0</v>
      </c>
      <c r="J27" s="260"/>
      <c r="K27" s="264" t="s">
        <v>1574</v>
      </c>
      <c r="L27" s="264" t="s">
        <v>1575</v>
      </c>
    </row>
    <row r="28" spans="1:12" ht="15.75" customHeight="1">
      <c r="A28" s="259">
        <v>222014</v>
      </c>
      <c r="B28" s="260"/>
      <c r="C28" s="261" t="s">
        <v>1588</v>
      </c>
      <c r="D28" s="260"/>
      <c r="E28" s="262">
        <v>1</v>
      </c>
      <c r="F28" s="260"/>
      <c r="G28" s="416"/>
      <c r="H28" s="260"/>
      <c r="I28" s="263">
        <f>E28*G28</f>
        <v>0</v>
      </c>
      <c r="J28" s="260"/>
      <c r="K28" s="264" t="s">
        <v>1574</v>
      </c>
      <c r="L28" s="264" t="s">
        <v>1575</v>
      </c>
    </row>
    <row r="29" spans="1:12" ht="15.75" customHeight="1">
      <c r="A29" s="259"/>
      <c r="B29" s="260"/>
      <c r="C29" s="261"/>
      <c r="D29" s="260"/>
      <c r="E29" s="262"/>
      <c r="F29" s="260"/>
      <c r="G29" s="416"/>
      <c r="H29" s="260"/>
      <c r="I29" s="263"/>
      <c r="J29" s="260"/>
      <c r="K29" s="264"/>
      <c r="L29" s="264"/>
    </row>
    <row r="30" spans="1:12" ht="36.75" customHeight="1">
      <c r="A30" s="259">
        <v>222015</v>
      </c>
      <c r="B30" s="260"/>
      <c r="C30" s="265" t="s">
        <v>1589</v>
      </c>
      <c r="D30" s="260"/>
      <c r="E30" s="262">
        <v>3</v>
      </c>
      <c r="F30" s="260"/>
      <c r="G30" s="416"/>
      <c r="H30" s="260"/>
      <c r="I30" s="266">
        <f>E30*G30</f>
        <v>0</v>
      </c>
      <c r="J30" s="260"/>
      <c r="K30" s="264" t="s">
        <v>1574</v>
      </c>
      <c r="L30" s="264" t="s">
        <v>1575</v>
      </c>
    </row>
    <row r="31" spans="1:12" ht="39" customHeight="1">
      <c r="A31" s="259">
        <v>222016</v>
      </c>
      <c r="B31" s="260"/>
      <c r="C31" s="265" t="s">
        <v>1590</v>
      </c>
      <c r="D31" s="260"/>
      <c r="E31" s="262">
        <v>1</v>
      </c>
      <c r="F31" s="260"/>
      <c r="G31" s="416"/>
      <c r="H31" s="260"/>
      <c r="I31" s="266">
        <f>E31*G31</f>
        <v>0</v>
      </c>
      <c r="J31" s="260"/>
      <c r="K31" s="264" t="s">
        <v>1574</v>
      </c>
      <c r="L31" s="264" t="s">
        <v>1575</v>
      </c>
    </row>
    <row r="32" spans="1:12" ht="15.75" customHeight="1">
      <c r="A32" s="259"/>
      <c r="B32" s="260"/>
      <c r="C32" s="261"/>
      <c r="D32" s="260"/>
      <c r="E32" s="262"/>
      <c r="F32" s="260"/>
      <c r="G32" s="416"/>
      <c r="H32" s="260"/>
      <c r="I32" s="263"/>
      <c r="J32" s="260"/>
      <c r="K32" s="264"/>
      <c r="L32" s="264"/>
    </row>
    <row r="33" spans="1:12" ht="15.75" customHeight="1">
      <c r="A33" s="259">
        <v>222017</v>
      </c>
      <c r="B33" s="260"/>
      <c r="C33" s="261" t="s">
        <v>1591</v>
      </c>
      <c r="D33" s="260"/>
      <c r="E33" s="262">
        <v>20</v>
      </c>
      <c r="F33" s="260"/>
      <c r="G33" s="416"/>
      <c r="H33" s="260"/>
      <c r="I33" s="263">
        <f>E33*G33</f>
        <v>0</v>
      </c>
      <c r="J33" s="260"/>
      <c r="K33" s="264" t="s">
        <v>1574</v>
      </c>
      <c r="L33" s="264" t="s">
        <v>1575</v>
      </c>
    </row>
    <row r="34" spans="1:12" ht="15.75" customHeight="1">
      <c r="A34" s="259">
        <v>222018</v>
      </c>
      <c r="B34" s="260"/>
      <c r="C34" s="261" t="s">
        <v>1592</v>
      </c>
      <c r="D34" s="260"/>
      <c r="E34" s="262">
        <v>3</v>
      </c>
      <c r="F34" s="260"/>
      <c r="G34" s="416"/>
      <c r="H34" s="260"/>
      <c r="I34" s="263">
        <f aca="true" t="shared" si="1" ref="I34:I39">E34*G34</f>
        <v>0</v>
      </c>
      <c r="J34" s="260"/>
      <c r="K34" s="264" t="s">
        <v>1574</v>
      </c>
      <c r="L34" s="264" t="s">
        <v>1575</v>
      </c>
    </row>
    <row r="35" spans="1:12" ht="15.75" customHeight="1">
      <c r="A35" s="259">
        <v>222019</v>
      </c>
      <c r="B35" s="260"/>
      <c r="C35" s="261" t="s">
        <v>1593</v>
      </c>
      <c r="D35" s="260"/>
      <c r="E35" s="262">
        <v>1</v>
      </c>
      <c r="F35" s="260"/>
      <c r="G35" s="416"/>
      <c r="H35" s="260"/>
      <c r="I35" s="263">
        <f t="shared" si="1"/>
        <v>0</v>
      </c>
      <c r="J35" s="260"/>
      <c r="K35" s="264" t="s">
        <v>1574</v>
      </c>
      <c r="L35" s="264" t="s">
        <v>1575</v>
      </c>
    </row>
    <row r="36" spans="1:12" ht="15.75" customHeight="1">
      <c r="A36" s="259">
        <v>222020</v>
      </c>
      <c r="B36" s="260"/>
      <c r="C36" s="261" t="s">
        <v>1594</v>
      </c>
      <c r="D36" s="260"/>
      <c r="E36" s="262">
        <v>40</v>
      </c>
      <c r="F36" s="260"/>
      <c r="G36" s="416"/>
      <c r="H36" s="260"/>
      <c r="I36" s="263">
        <f t="shared" si="1"/>
        <v>0</v>
      </c>
      <c r="J36" s="260"/>
      <c r="K36" s="264" t="s">
        <v>1574</v>
      </c>
      <c r="L36" s="264" t="s">
        <v>1575</v>
      </c>
    </row>
    <row r="37" spans="1:12" ht="15.75" customHeight="1">
      <c r="A37" s="259">
        <v>222021</v>
      </c>
      <c r="B37" s="260"/>
      <c r="C37" s="261" t="s">
        <v>1595</v>
      </c>
      <c r="D37" s="260"/>
      <c r="E37" s="262">
        <v>40</v>
      </c>
      <c r="F37" s="260"/>
      <c r="G37" s="416"/>
      <c r="H37" s="260"/>
      <c r="I37" s="263">
        <f t="shared" si="1"/>
        <v>0</v>
      </c>
      <c r="J37" s="260"/>
      <c r="K37" s="264" t="s">
        <v>1574</v>
      </c>
      <c r="L37" s="264" t="s">
        <v>1575</v>
      </c>
    </row>
    <row r="38" spans="1:12" ht="15.75" customHeight="1">
      <c r="A38" s="259">
        <v>222022</v>
      </c>
      <c r="B38" s="260"/>
      <c r="C38" s="261" t="s">
        <v>1596</v>
      </c>
      <c r="D38" s="260"/>
      <c r="E38" s="262">
        <v>25</v>
      </c>
      <c r="F38" s="260"/>
      <c r="G38" s="416"/>
      <c r="H38" s="260"/>
      <c r="I38" s="263">
        <f t="shared" si="1"/>
        <v>0</v>
      </c>
      <c r="J38" s="260"/>
      <c r="K38" s="264" t="s">
        <v>1574</v>
      </c>
      <c r="L38" s="264" t="s">
        <v>1575</v>
      </c>
    </row>
    <row r="39" spans="1:12" ht="15.75" customHeight="1">
      <c r="A39" s="259">
        <v>222023</v>
      </c>
      <c r="B39" s="260"/>
      <c r="C39" s="261" t="s">
        <v>1597</v>
      </c>
      <c r="D39" s="260"/>
      <c r="E39" s="262">
        <v>1</v>
      </c>
      <c r="F39" s="260"/>
      <c r="G39" s="416"/>
      <c r="H39" s="260"/>
      <c r="I39" s="263">
        <f t="shared" si="1"/>
        <v>0</v>
      </c>
      <c r="J39" s="260"/>
      <c r="K39" s="264" t="s">
        <v>1574</v>
      </c>
      <c r="L39" s="264" t="s">
        <v>1575</v>
      </c>
    </row>
    <row r="40" spans="1:12" ht="15.75" customHeight="1">
      <c r="A40" s="259"/>
      <c r="B40" s="260"/>
      <c r="C40" s="261"/>
      <c r="D40" s="260"/>
      <c r="E40" s="262"/>
      <c r="F40" s="260"/>
      <c r="G40" s="416"/>
      <c r="H40" s="260"/>
      <c r="I40" s="263"/>
      <c r="J40" s="260"/>
      <c r="K40" s="264"/>
      <c r="L40" s="264"/>
    </row>
    <row r="41" spans="1:12" ht="15.75" customHeight="1">
      <c r="A41" s="259"/>
      <c r="B41" s="260"/>
      <c r="C41" s="261"/>
      <c r="D41" s="260"/>
      <c r="E41" s="262"/>
      <c r="F41" s="260"/>
      <c r="G41" s="416"/>
      <c r="H41" s="260"/>
      <c r="I41" s="263"/>
      <c r="J41" s="260"/>
      <c r="K41" s="264"/>
      <c r="L41" s="264"/>
    </row>
    <row r="42" spans="1:12" ht="15.75" customHeight="1">
      <c r="A42" s="259"/>
      <c r="B42" s="260"/>
      <c r="C42" s="258" t="s">
        <v>1598</v>
      </c>
      <c r="D42" s="260"/>
      <c r="E42" s="262"/>
      <c r="F42" s="260"/>
      <c r="G42" s="416"/>
      <c r="H42" s="260"/>
      <c r="I42" s="263"/>
      <c r="J42" s="260"/>
      <c r="K42" s="264"/>
      <c r="L42" s="264"/>
    </row>
    <row r="43" spans="1:12" ht="15.75" customHeight="1">
      <c r="A43" s="259"/>
      <c r="B43" s="260"/>
      <c r="C43" s="261"/>
      <c r="D43" s="260"/>
      <c r="E43" s="262"/>
      <c r="F43" s="260"/>
      <c r="G43" s="416"/>
      <c r="H43" s="260"/>
      <c r="I43" s="263"/>
      <c r="J43" s="260"/>
      <c r="K43" s="264"/>
      <c r="L43" s="264"/>
    </row>
    <row r="44" spans="1:12" ht="15.75" customHeight="1">
      <c r="A44" s="259">
        <v>222024</v>
      </c>
      <c r="B44" s="260"/>
      <c r="C44" s="261" t="s">
        <v>1599</v>
      </c>
      <c r="D44" s="260"/>
      <c r="E44" s="262">
        <v>1</v>
      </c>
      <c r="F44" s="260"/>
      <c r="G44" s="416"/>
      <c r="H44" s="260"/>
      <c r="I44" s="263">
        <f aca="true" t="shared" si="2" ref="I44:I63">E44*G44</f>
        <v>0</v>
      </c>
      <c r="J44" s="260"/>
      <c r="K44" s="264" t="s">
        <v>1574</v>
      </c>
      <c r="L44" s="264" t="s">
        <v>1575</v>
      </c>
    </row>
    <row r="45" spans="1:12" ht="15.75" customHeight="1">
      <c r="A45" s="259">
        <v>222025</v>
      </c>
      <c r="B45" s="260"/>
      <c r="C45" s="261" t="s">
        <v>1600</v>
      </c>
      <c r="D45" s="260"/>
      <c r="E45" s="262">
        <v>1</v>
      </c>
      <c r="F45" s="260"/>
      <c r="G45" s="416"/>
      <c r="H45" s="260"/>
      <c r="I45" s="263">
        <f t="shared" si="2"/>
        <v>0</v>
      </c>
      <c r="J45" s="260"/>
      <c r="K45" s="264" t="s">
        <v>1574</v>
      </c>
      <c r="L45" s="264" t="s">
        <v>1575</v>
      </c>
    </row>
    <row r="46" spans="1:12" ht="15.75" customHeight="1">
      <c r="A46" s="259">
        <v>222026</v>
      </c>
      <c r="B46" s="260"/>
      <c r="C46" s="261" t="s">
        <v>1601</v>
      </c>
      <c r="D46" s="260"/>
      <c r="E46" s="262">
        <v>1</v>
      </c>
      <c r="F46" s="260"/>
      <c r="G46" s="416"/>
      <c r="H46" s="260"/>
      <c r="I46" s="263">
        <f t="shared" si="2"/>
        <v>0</v>
      </c>
      <c r="J46" s="260"/>
      <c r="K46" s="264" t="s">
        <v>1574</v>
      </c>
      <c r="L46" s="264" t="s">
        <v>1575</v>
      </c>
    </row>
    <row r="47" spans="1:12" ht="15.75" customHeight="1">
      <c r="A47" s="259">
        <v>222027</v>
      </c>
      <c r="B47" s="260"/>
      <c r="C47" s="261" t="s">
        <v>1602</v>
      </c>
      <c r="D47" s="260"/>
      <c r="E47" s="262">
        <v>1</v>
      </c>
      <c r="F47" s="260"/>
      <c r="G47" s="416"/>
      <c r="H47" s="260"/>
      <c r="I47" s="263">
        <f t="shared" si="2"/>
        <v>0</v>
      </c>
      <c r="J47" s="260"/>
      <c r="K47" s="264" t="s">
        <v>1574</v>
      </c>
      <c r="L47" s="264" t="s">
        <v>1575</v>
      </c>
    </row>
    <row r="48" spans="1:12" ht="15.75" customHeight="1">
      <c r="A48" s="259">
        <v>222028</v>
      </c>
      <c r="B48" s="260"/>
      <c r="C48" s="261" t="s">
        <v>1603</v>
      </c>
      <c r="D48" s="260"/>
      <c r="E48" s="262">
        <v>1</v>
      </c>
      <c r="F48" s="260"/>
      <c r="G48" s="416"/>
      <c r="H48" s="260"/>
      <c r="I48" s="263">
        <f t="shared" si="2"/>
        <v>0</v>
      </c>
      <c r="J48" s="260"/>
      <c r="K48" s="264" t="s">
        <v>1574</v>
      </c>
      <c r="L48" s="264" t="s">
        <v>1575</v>
      </c>
    </row>
    <row r="49" spans="1:12" ht="33" customHeight="1">
      <c r="A49" s="259">
        <v>222029</v>
      </c>
      <c r="B49" s="260"/>
      <c r="C49" s="265" t="s">
        <v>1604</v>
      </c>
      <c r="D49" s="260"/>
      <c r="E49" s="262">
        <v>3</v>
      </c>
      <c r="F49" s="260"/>
      <c r="G49" s="416"/>
      <c r="H49" s="260"/>
      <c r="I49" s="263">
        <f t="shared" si="2"/>
        <v>0</v>
      </c>
      <c r="J49" s="260"/>
      <c r="K49" s="264" t="s">
        <v>1574</v>
      </c>
      <c r="L49" s="264" t="s">
        <v>1575</v>
      </c>
    </row>
    <row r="50" spans="1:12" ht="15.75" customHeight="1">
      <c r="A50" s="259">
        <v>222030</v>
      </c>
      <c r="B50" s="260"/>
      <c r="C50" s="261" t="s">
        <v>1605</v>
      </c>
      <c r="D50" s="260"/>
      <c r="E50" s="262">
        <v>1</v>
      </c>
      <c r="F50" s="260"/>
      <c r="G50" s="416"/>
      <c r="H50" s="260"/>
      <c r="I50" s="263">
        <f t="shared" si="2"/>
        <v>0</v>
      </c>
      <c r="J50" s="260"/>
      <c r="K50" s="264" t="s">
        <v>1574</v>
      </c>
      <c r="L50" s="264" t="s">
        <v>1575</v>
      </c>
    </row>
    <row r="51" spans="1:12" ht="15.75" customHeight="1">
      <c r="A51" s="259">
        <v>222031</v>
      </c>
      <c r="B51" s="260"/>
      <c r="C51" s="261" t="s">
        <v>1606</v>
      </c>
      <c r="D51" s="260"/>
      <c r="E51" s="262">
        <v>1</v>
      </c>
      <c r="F51" s="260"/>
      <c r="G51" s="416"/>
      <c r="H51" s="260"/>
      <c r="I51" s="263">
        <f t="shared" si="2"/>
        <v>0</v>
      </c>
      <c r="J51" s="260"/>
      <c r="K51" s="264" t="s">
        <v>1574</v>
      </c>
      <c r="L51" s="264" t="s">
        <v>1575</v>
      </c>
    </row>
    <row r="52" spans="1:12" ht="15.75" customHeight="1">
      <c r="A52" s="259">
        <v>222032</v>
      </c>
      <c r="B52" s="260"/>
      <c r="C52" s="261" t="s">
        <v>1607</v>
      </c>
      <c r="D52" s="260"/>
      <c r="E52" s="262">
        <v>50</v>
      </c>
      <c r="F52" s="260"/>
      <c r="G52" s="416"/>
      <c r="H52" s="260"/>
      <c r="I52" s="263">
        <f t="shared" si="2"/>
        <v>0</v>
      </c>
      <c r="J52" s="260"/>
      <c r="K52" s="264" t="s">
        <v>1574</v>
      </c>
      <c r="L52" s="264" t="s">
        <v>1575</v>
      </c>
    </row>
    <row r="53" spans="1:12" ht="15.75" customHeight="1">
      <c r="A53" s="259">
        <v>222033</v>
      </c>
      <c r="B53" s="260"/>
      <c r="C53" s="261" t="s">
        <v>1608</v>
      </c>
      <c r="D53" s="260"/>
      <c r="E53" s="262">
        <v>3</v>
      </c>
      <c r="F53" s="260"/>
      <c r="G53" s="416"/>
      <c r="H53" s="260"/>
      <c r="I53" s="263">
        <f t="shared" si="2"/>
        <v>0</v>
      </c>
      <c r="J53" s="260"/>
      <c r="K53" s="264" t="s">
        <v>1574</v>
      </c>
      <c r="L53" s="264" t="s">
        <v>1575</v>
      </c>
    </row>
    <row r="54" spans="1:12" ht="15.75" customHeight="1">
      <c r="A54" s="259">
        <v>222034</v>
      </c>
      <c r="B54" s="260"/>
      <c r="C54" s="261" t="s">
        <v>1609</v>
      </c>
      <c r="D54" s="260"/>
      <c r="E54" s="262">
        <v>3</v>
      </c>
      <c r="F54" s="260"/>
      <c r="G54" s="416"/>
      <c r="H54" s="260"/>
      <c r="I54" s="263">
        <f t="shared" si="2"/>
        <v>0</v>
      </c>
      <c r="J54" s="260"/>
      <c r="K54" s="264" t="s">
        <v>1574</v>
      </c>
      <c r="L54" s="264" t="s">
        <v>1575</v>
      </c>
    </row>
    <row r="55" spans="1:12" ht="15.75" customHeight="1">
      <c r="A55" s="259">
        <v>222035</v>
      </c>
      <c r="B55" s="260"/>
      <c r="C55" s="261" t="s">
        <v>1610</v>
      </c>
      <c r="D55" s="260"/>
      <c r="E55" s="262">
        <v>1</v>
      </c>
      <c r="F55" s="260"/>
      <c r="G55" s="416"/>
      <c r="H55" s="260"/>
      <c r="I55" s="263">
        <f t="shared" si="2"/>
        <v>0</v>
      </c>
      <c r="J55" s="260"/>
      <c r="K55" s="264" t="s">
        <v>1574</v>
      </c>
      <c r="L55" s="264" t="s">
        <v>1575</v>
      </c>
    </row>
    <row r="56" spans="1:12" ht="15.75" customHeight="1">
      <c r="A56" s="259">
        <v>222036</v>
      </c>
      <c r="B56" s="260"/>
      <c r="C56" s="261" t="s">
        <v>1611</v>
      </c>
      <c r="D56" s="260"/>
      <c r="E56" s="262">
        <v>1</v>
      </c>
      <c r="F56" s="260"/>
      <c r="G56" s="416"/>
      <c r="H56" s="260"/>
      <c r="I56" s="263">
        <f t="shared" si="2"/>
        <v>0</v>
      </c>
      <c r="J56" s="260"/>
      <c r="K56" s="264" t="s">
        <v>1574</v>
      </c>
      <c r="L56" s="264" t="s">
        <v>1575</v>
      </c>
    </row>
    <row r="57" spans="1:12" ht="15.75" customHeight="1">
      <c r="A57" s="259"/>
      <c r="B57" s="260"/>
      <c r="C57" s="265"/>
      <c r="D57" s="260"/>
      <c r="E57" s="262"/>
      <c r="F57" s="260"/>
      <c r="G57" s="416"/>
      <c r="H57" s="260"/>
      <c r="I57" s="263">
        <f t="shared" si="2"/>
        <v>0</v>
      </c>
      <c r="J57" s="260"/>
      <c r="K57" s="264" t="s">
        <v>1574</v>
      </c>
      <c r="L57" s="264" t="s">
        <v>1575</v>
      </c>
    </row>
    <row r="58" spans="1:12" ht="15.75" customHeight="1">
      <c r="A58" s="259">
        <v>222037</v>
      </c>
      <c r="B58" s="260"/>
      <c r="C58" s="261" t="s">
        <v>1585</v>
      </c>
      <c r="D58" s="260"/>
      <c r="E58" s="262">
        <v>160</v>
      </c>
      <c r="F58" s="260"/>
      <c r="G58" s="416"/>
      <c r="H58" s="260"/>
      <c r="I58" s="263">
        <f t="shared" si="2"/>
        <v>0</v>
      </c>
      <c r="J58" s="260"/>
      <c r="K58" s="264" t="s">
        <v>1574</v>
      </c>
      <c r="L58" s="264" t="s">
        <v>1575</v>
      </c>
    </row>
    <row r="59" spans="1:12" ht="15.75" customHeight="1">
      <c r="A59" s="259">
        <v>222038</v>
      </c>
      <c r="B59" s="260"/>
      <c r="C59" s="261" t="s">
        <v>1612</v>
      </c>
      <c r="D59" s="260"/>
      <c r="E59" s="262">
        <v>130</v>
      </c>
      <c r="F59" s="260"/>
      <c r="G59" s="416"/>
      <c r="H59" s="260"/>
      <c r="I59" s="263">
        <f t="shared" si="2"/>
        <v>0</v>
      </c>
      <c r="J59" s="260"/>
      <c r="K59" s="264" t="s">
        <v>1574</v>
      </c>
      <c r="L59" s="264" t="s">
        <v>1575</v>
      </c>
    </row>
    <row r="60" spans="1:12" ht="15.75" customHeight="1">
      <c r="A60" s="259">
        <v>222039</v>
      </c>
      <c r="B60" s="260"/>
      <c r="C60" s="261" t="s">
        <v>1587</v>
      </c>
      <c r="D60" s="260"/>
      <c r="E60" s="262">
        <v>15</v>
      </c>
      <c r="F60" s="260"/>
      <c r="G60" s="416"/>
      <c r="H60" s="260"/>
      <c r="I60" s="263">
        <f t="shared" si="2"/>
        <v>0</v>
      </c>
      <c r="J60" s="260"/>
      <c r="K60" s="264" t="s">
        <v>1574</v>
      </c>
      <c r="L60" s="264" t="s">
        <v>1575</v>
      </c>
    </row>
    <row r="61" spans="1:12" ht="15.75" customHeight="1">
      <c r="A61" s="259">
        <v>222040</v>
      </c>
      <c r="B61" s="260"/>
      <c r="C61" s="261" t="s">
        <v>1591</v>
      </c>
      <c r="D61" s="260"/>
      <c r="E61" s="262">
        <v>6</v>
      </c>
      <c r="F61" s="260"/>
      <c r="G61" s="416"/>
      <c r="H61" s="260"/>
      <c r="I61" s="263">
        <f t="shared" si="2"/>
        <v>0</v>
      </c>
      <c r="J61" s="260"/>
      <c r="K61" s="264" t="s">
        <v>1574</v>
      </c>
      <c r="L61" s="264" t="s">
        <v>1575</v>
      </c>
    </row>
    <row r="62" spans="1:12" ht="15.75" customHeight="1">
      <c r="A62" s="259">
        <v>222041</v>
      </c>
      <c r="B62" s="260"/>
      <c r="C62" s="261" t="s">
        <v>1594</v>
      </c>
      <c r="D62" s="260"/>
      <c r="E62" s="262">
        <v>8</v>
      </c>
      <c r="F62" s="260"/>
      <c r="G62" s="416"/>
      <c r="H62" s="260"/>
      <c r="I62" s="263">
        <f t="shared" si="2"/>
        <v>0</v>
      </c>
      <c r="J62" s="260"/>
      <c r="K62" s="264" t="s">
        <v>1574</v>
      </c>
      <c r="L62" s="264" t="s">
        <v>1575</v>
      </c>
    </row>
    <row r="63" spans="1:12" ht="15.75" customHeight="1">
      <c r="A63" s="259">
        <v>222042</v>
      </c>
      <c r="B63" s="260"/>
      <c r="C63" s="261" t="s">
        <v>1597</v>
      </c>
      <c r="D63" s="260"/>
      <c r="E63" s="262">
        <v>1</v>
      </c>
      <c r="F63" s="260"/>
      <c r="G63" s="416"/>
      <c r="H63" s="260"/>
      <c r="I63" s="263">
        <f t="shared" si="2"/>
        <v>0</v>
      </c>
      <c r="J63" s="260"/>
      <c r="K63" s="264" t="s">
        <v>1574</v>
      </c>
      <c r="L63" s="264" t="s">
        <v>1575</v>
      </c>
    </row>
    <row r="64" spans="1:12" ht="15.75" customHeight="1">
      <c r="A64" s="259"/>
      <c r="B64" s="260"/>
      <c r="C64" s="261"/>
      <c r="D64" s="260"/>
      <c r="E64" s="262"/>
      <c r="F64" s="260"/>
      <c r="G64" s="416"/>
      <c r="H64" s="260"/>
      <c r="I64" s="263"/>
      <c r="J64" s="260"/>
      <c r="K64" s="264"/>
      <c r="L64" s="264"/>
    </row>
    <row r="65" spans="1:12" ht="15.75" customHeight="1">
      <c r="A65" s="259"/>
      <c r="B65" s="260"/>
      <c r="C65" s="261"/>
      <c r="D65" s="260"/>
      <c r="E65" s="262"/>
      <c r="F65" s="260"/>
      <c r="G65" s="416"/>
      <c r="H65" s="260"/>
      <c r="I65" s="263"/>
      <c r="J65" s="260"/>
      <c r="K65" s="264"/>
      <c r="L65" s="264"/>
    </row>
    <row r="66" spans="1:12" ht="15.75" customHeight="1">
      <c r="A66" s="259"/>
      <c r="B66" s="260"/>
      <c r="C66" s="261" t="s">
        <v>1613</v>
      </c>
      <c r="D66" s="260"/>
      <c r="E66" s="262"/>
      <c r="F66" s="260"/>
      <c r="G66" s="416"/>
      <c r="H66" s="260"/>
      <c r="I66" s="263"/>
      <c r="J66" s="260"/>
      <c r="K66" s="264"/>
      <c r="L66" s="264"/>
    </row>
    <row r="67" spans="1:12" ht="15.75" customHeight="1">
      <c r="A67" s="259"/>
      <c r="B67" s="260"/>
      <c r="C67" s="261"/>
      <c r="D67" s="260"/>
      <c r="E67" s="262"/>
      <c r="F67" s="260"/>
      <c r="G67" s="416"/>
      <c r="H67" s="260"/>
      <c r="I67" s="263"/>
      <c r="J67" s="260"/>
      <c r="K67" s="264"/>
      <c r="L67" s="264"/>
    </row>
    <row r="68" spans="1:12" ht="15.75" customHeight="1">
      <c r="A68" s="259">
        <v>222043</v>
      </c>
      <c r="B68" s="260"/>
      <c r="C68" s="261" t="s">
        <v>1614</v>
      </c>
      <c r="D68" s="260"/>
      <c r="E68" s="262">
        <v>1</v>
      </c>
      <c r="F68" s="260"/>
      <c r="G68" s="416"/>
      <c r="H68" s="260"/>
      <c r="I68" s="263">
        <f aca="true" t="shared" si="3" ref="I68:I78">E68*G68</f>
        <v>0</v>
      </c>
      <c r="J68" s="260"/>
      <c r="K68" s="264" t="s">
        <v>1574</v>
      </c>
      <c r="L68" s="264" t="s">
        <v>1575</v>
      </c>
    </row>
    <row r="69" spans="1:12" ht="15.75" customHeight="1">
      <c r="A69" s="259">
        <v>222044</v>
      </c>
      <c r="B69" s="260"/>
      <c r="C69" s="261" t="s">
        <v>1615</v>
      </c>
      <c r="D69" s="260"/>
      <c r="E69" s="262">
        <v>1</v>
      </c>
      <c r="F69" s="260"/>
      <c r="G69" s="416"/>
      <c r="H69" s="260"/>
      <c r="I69" s="263">
        <f t="shared" si="3"/>
        <v>0</v>
      </c>
      <c r="J69" s="260"/>
      <c r="K69" s="264" t="s">
        <v>1574</v>
      </c>
      <c r="L69" s="264" t="s">
        <v>1575</v>
      </c>
    </row>
    <row r="70" spans="1:12" ht="15.75" customHeight="1">
      <c r="A70" s="259">
        <v>222045</v>
      </c>
      <c r="B70" s="260"/>
      <c r="C70" s="261" t="s">
        <v>1616</v>
      </c>
      <c r="D70" s="260"/>
      <c r="E70" s="262">
        <v>3</v>
      </c>
      <c r="F70" s="260"/>
      <c r="G70" s="416"/>
      <c r="H70" s="260"/>
      <c r="I70" s="263">
        <f t="shared" si="3"/>
        <v>0</v>
      </c>
      <c r="J70" s="260"/>
      <c r="K70" s="264" t="s">
        <v>1574</v>
      </c>
      <c r="L70" s="264" t="s">
        <v>1575</v>
      </c>
    </row>
    <row r="71" spans="1:12" ht="15.75" customHeight="1">
      <c r="A71" s="259">
        <v>222046</v>
      </c>
      <c r="B71" s="260"/>
      <c r="C71" s="261" t="s">
        <v>1617</v>
      </c>
      <c r="D71" s="260"/>
      <c r="E71" s="262">
        <v>3</v>
      </c>
      <c r="F71" s="260"/>
      <c r="G71" s="416"/>
      <c r="H71" s="260"/>
      <c r="I71" s="263">
        <f t="shared" si="3"/>
        <v>0</v>
      </c>
      <c r="J71" s="260"/>
      <c r="K71" s="264" t="s">
        <v>1574</v>
      </c>
      <c r="L71" s="264" t="s">
        <v>1575</v>
      </c>
    </row>
    <row r="72" spans="1:12" ht="15.75" customHeight="1">
      <c r="A72" s="259">
        <v>222047</v>
      </c>
      <c r="B72" s="260"/>
      <c r="C72" s="261" t="s">
        <v>1618</v>
      </c>
      <c r="D72" s="260"/>
      <c r="E72" s="262">
        <v>2</v>
      </c>
      <c r="F72" s="260"/>
      <c r="G72" s="416"/>
      <c r="H72" s="260"/>
      <c r="I72" s="263">
        <f t="shared" si="3"/>
        <v>0</v>
      </c>
      <c r="J72" s="260"/>
      <c r="K72" s="264" t="s">
        <v>1574</v>
      </c>
      <c r="L72" s="264" t="s">
        <v>1575</v>
      </c>
    </row>
    <row r="73" spans="1:12" ht="15.75" customHeight="1">
      <c r="A73" s="259">
        <v>222048</v>
      </c>
      <c r="B73" s="260"/>
      <c r="C73" s="261" t="s">
        <v>1619</v>
      </c>
      <c r="D73" s="260"/>
      <c r="E73" s="262">
        <v>5</v>
      </c>
      <c r="F73" s="260"/>
      <c r="G73" s="416"/>
      <c r="H73" s="260"/>
      <c r="I73" s="263">
        <f t="shared" si="3"/>
        <v>0</v>
      </c>
      <c r="J73" s="260"/>
      <c r="K73" s="264" t="s">
        <v>1574</v>
      </c>
      <c r="L73" s="264" t="s">
        <v>1575</v>
      </c>
    </row>
    <row r="74" spans="1:12" ht="15.75" customHeight="1">
      <c r="A74" s="259">
        <v>222049</v>
      </c>
      <c r="B74" s="260"/>
      <c r="C74" s="261" t="s">
        <v>1620</v>
      </c>
      <c r="D74" s="260"/>
      <c r="E74" s="262">
        <v>2</v>
      </c>
      <c r="F74" s="260"/>
      <c r="G74" s="416"/>
      <c r="H74" s="260"/>
      <c r="I74" s="263">
        <f t="shared" si="3"/>
        <v>0</v>
      </c>
      <c r="J74" s="260"/>
      <c r="K74" s="264" t="s">
        <v>1574</v>
      </c>
      <c r="L74" s="264" t="s">
        <v>1575</v>
      </c>
    </row>
    <row r="75" spans="1:12" ht="15.75" customHeight="1">
      <c r="A75" s="259">
        <v>222050</v>
      </c>
      <c r="B75" s="260"/>
      <c r="C75" s="261" t="s">
        <v>1621</v>
      </c>
      <c r="D75" s="260"/>
      <c r="E75" s="262">
        <v>1</v>
      </c>
      <c r="F75" s="260"/>
      <c r="G75" s="416"/>
      <c r="H75" s="260"/>
      <c r="I75" s="263">
        <f t="shared" si="3"/>
        <v>0</v>
      </c>
      <c r="J75" s="260"/>
      <c r="K75" s="264" t="s">
        <v>1574</v>
      </c>
      <c r="L75" s="264" t="s">
        <v>1575</v>
      </c>
    </row>
    <row r="76" spans="1:12" ht="15.75" customHeight="1">
      <c r="A76" s="259"/>
      <c r="B76" s="260"/>
      <c r="C76" s="261"/>
      <c r="D76" s="260"/>
      <c r="E76" s="262"/>
      <c r="F76" s="260"/>
      <c r="G76" s="416"/>
      <c r="H76" s="260"/>
      <c r="I76" s="263"/>
      <c r="J76" s="260"/>
      <c r="K76" s="264"/>
      <c r="L76" s="264"/>
    </row>
    <row r="77" spans="1:12" ht="15.75" customHeight="1">
      <c r="A77" s="259">
        <v>222051</v>
      </c>
      <c r="B77" s="260"/>
      <c r="C77" s="261" t="s">
        <v>1585</v>
      </c>
      <c r="D77" s="260"/>
      <c r="E77" s="262">
        <v>170</v>
      </c>
      <c r="F77" s="260"/>
      <c r="G77" s="416"/>
      <c r="H77" s="260"/>
      <c r="I77" s="263">
        <f>E77*G77</f>
        <v>0</v>
      </c>
      <c r="J77" s="260"/>
      <c r="K77" s="264" t="s">
        <v>1574</v>
      </c>
      <c r="L77" s="264" t="s">
        <v>1575</v>
      </c>
    </row>
    <row r="78" spans="1:12" ht="15.75" customHeight="1">
      <c r="A78" s="259">
        <v>222052</v>
      </c>
      <c r="B78" s="260"/>
      <c r="C78" s="261" t="s">
        <v>1597</v>
      </c>
      <c r="D78" s="260"/>
      <c r="E78" s="262">
        <v>1</v>
      </c>
      <c r="F78" s="260"/>
      <c r="G78" s="416"/>
      <c r="H78" s="260"/>
      <c r="I78" s="263">
        <f t="shared" si="3"/>
        <v>0</v>
      </c>
      <c r="J78" s="260"/>
      <c r="K78" s="264" t="s">
        <v>1574</v>
      </c>
      <c r="L78" s="264" t="s">
        <v>1575</v>
      </c>
    </row>
    <row r="79" spans="1:12" ht="15.75" customHeight="1">
      <c r="A79" s="259"/>
      <c r="B79" s="260"/>
      <c r="C79" s="261"/>
      <c r="D79" s="260"/>
      <c r="E79" s="262"/>
      <c r="F79" s="260"/>
      <c r="G79" s="416"/>
      <c r="H79" s="260"/>
      <c r="I79" s="263"/>
      <c r="J79" s="260"/>
      <c r="K79" s="264"/>
      <c r="L79" s="264"/>
    </row>
    <row r="80" spans="1:12" ht="15.75" customHeight="1">
      <c r="A80" s="259"/>
      <c r="B80" s="260"/>
      <c r="C80" s="261"/>
      <c r="D80" s="260"/>
      <c r="E80" s="262"/>
      <c r="F80" s="260"/>
      <c r="G80" s="416"/>
      <c r="H80" s="260"/>
      <c r="I80" s="263"/>
      <c r="J80" s="260"/>
      <c r="K80" s="264"/>
      <c r="L80" s="264"/>
    </row>
    <row r="81" spans="1:12" ht="15.75" customHeight="1">
      <c r="A81" s="259"/>
      <c r="B81" s="260"/>
      <c r="C81" s="258" t="s">
        <v>1622</v>
      </c>
      <c r="D81" s="260"/>
      <c r="E81" s="262"/>
      <c r="F81" s="260"/>
      <c r="G81" s="416"/>
      <c r="H81" s="260"/>
      <c r="I81" s="263"/>
      <c r="J81" s="260"/>
      <c r="K81" s="264"/>
      <c r="L81" s="264"/>
    </row>
    <row r="82" spans="1:12" ht="15.75" customHeight="1">
      <c r="A82" s="259"/>
      <c r="B82" s="260"/>
      <c r="C82" s="261"/>
      <c r="D82" s="260"/>
      <c r="E82" s="262"/>
      <c r="F82" s="260"/>
      <c r="G82" s="416"/>
      <c r="H82" s="260"/>
      <c r="I82" s="263"/>
      <c r="J82" s="260"/>
      <c r="K82" s="264"/>
      <c r="L82" s="264"/>
    </row>
    <row r="83" spans="1:12" ht="186.75" customHeight="1">
      <c r="A83" s="259">
        <v>222053</v>
      </c>
      <c r="B83" s="260"/>
      <c r="C83" s="265" t="s">
        <v>1623</v>
      </c>
      <c r="D83" s="260"/>
      <c r="E83" s="262">
        <v>1</v>
      </c>
      <c r="F83" s="260"/>
      <c r="G83" s="416"/>
      <c r="H83" s="260"/>
      <c r="I83" s="263">
        <f>E83*G83</f>
        <v>0</v>
      </c>
      <c r="J83" s="260"/>
      <c r="K83" s="264" t="s">
        <v>1574</v>
      </c>
      <c r="L83" s="264" t="s">
        <v>1575</v>
      </c>
    </row>
    <row r="84" spans="1:12" ht="15.75" customHeight="1">
      <c r="A84" s="259"/>
      <c r="B84" s="260"/>
      <c r="C84" s="261"/>
      <c r="D84" s="260"/>
      <c r="E84" s="262"/>
      <c r="F84" s="260"/>
      <c r="G84" s="416"/>
      <c r="H84" s="260"/>
      <c r="I84" s="263"/>
      <c r="J84" s="260"/>
      <c r="K84" s="264"/>
      <c r="L84" s="264"/>
    </row>
    <row r="85" spans="1:12" ht="15.75" customHeight="1">
      <c r="A85" s="259"/>
      <c r="B85" s="260"/>
      <c r="C85" s="256" t="s">
        <v>1624</v>
      </c>
      <c r="D85" s="260"/>
      <c r="E85" s="262"/>
      <c r="F85" s="260"/>
      <c r="G85" s="416"/>
      <c r="H85" s="260"/>
      <c r="I85" s="263"/>
      <c r="J85" s="260"/>
      <c r="K85" s="264"/>
      <c r="L85" s="264"/>
    </row>
    <row r="86" spans="1:12" ht="15.75" customHeight="1">
      <c r="A86" s="259"/>
      <c r="B86" s="260"/>
      <c r="C86" s="261"/>
      <c r="D86" s="260"/>
      <c r="E86" s="262"/>
      <c r="F86" s="260"/>
      <c r="G86" s="416"/>
      <c r="H86" s="260"/>
      <c r="I86" s="267"/>
      <c r="J86" s="260"/>
      <c r="K86" s="264"/>
      <c r="L86" s="264"/>
    </row>
    <row r="87" spans="1:12" ht="15.75" customHeight="1">
      <c r="A87" s="259"/>
      <c r="B87" s="260"/>
      <c r="C87" s="258" t="s">
        <v>1572</v>
      </c>
      <c r="D87" s="260"/>
      <c r="E87" s="262"/>
      <c r="F87" s="260"/>
      <c r="G87" s="416"/>
      <c r="H87" s="260"/>
      <c r="I87" s="267"/>
      <c r="J87" s="260"/>
      <c r="K87" s="264"/>
      <c r="L87" s="264"/>
    </row>
    <row r="88" spans="1:12" ht="15.75" customHeight="1">
      <c r="A88" s="259"/>
      <c r="B88" s="260"/>
      <c r="C88" s="261"/>
      <c r="D88" s="260"/>
      <c r="E88" s="262"/>
      <c r="F88" s="260"/>
      <c r="G88" s="416"/>
      <c r="H88" s="260"/>
      <c r="I88" s="267"/>
      <c r="J88" s="260"/>
      <c r="K88" s="264"/>
      <c r="L88" s="264"/>
    </row>
    <row r="89" spans="1:12" ht="15.75" customHeight="1">
      <c r="A89" s="259">
        <v>222054</v>
      </c>
      <c r="B89" s="260"/>
      <c r="C89" s="261" t="s">
        <v>1625</v>
      </c>
      <c r="D89" s="260"/>
      <c r="E89" s="262">
        <v>1</v>
      </c>
      <c r="F89" s="260"/>
      <c r="G89" s="416"/>
      <c r="H89" s="260"/>
      <c r="I89" s="263">
        <f>E89*G89</f>
        <v>0</v>
      </c>
      <c r="J89" s="260"/>
      <c r="K89" s="264" t="s">
        <v>1626</v>
      </c>
      <c r="L89" s="264" t="s">
        <v>1575</v>
      </c>
    </row>
    <row r="90" spans="1:12" ht="15.75" customHeight="1">
      <c r="A90" s="259">
        <v>222055</v>
      </c>
      <c r="B90" s="260"/>
      <c r="C90" s="261" t="s">
        <v>1627</v>
      </c>
      <c r="D90" s="260"/>
      <c r="E90" s="262">
        <v>1</v>
      </c>
      <c r="F90" s="260"/>
      <c r="G90" s="416"/>
      <c r="H90" s="260"/>
      <c r="I90" s="263">
        <f aca="true" t="shared" si="4" ref="I90:I112">E90*G90</f>
        <v>0</v>
      </c>
      <c r="J90" s="260"/>
      <c r="K90" s="264" t="s">
        <v>1626</v>
      </c>
      <c r="L90" s="264" t="s">
        <v>1575</v>
      </c>
    </row>
    <row r="91" spans="1:12" ht="15.75" customHeight="1">
      <c r="A91" s="259">
        <v>222056</v>
      </c>
      <c r="B91" s="260"/>
      <c r="C91" s="261" t="s">
        <v>1628</v>
      </c>
      <c r="D91" s="260"/>
      <c r="E91" s="262">
        <v>2</v>
      </c>
      <c r="F91" s="260"/>
      <c r="G91" s="416"/>
      <c r="H91" s="260"/>
      <c r="I91" s="263">
        <f t="shared" si="4"/>
        <v>0</v>
      </c>
      <c r="J91" s="260"/>
      <c r="K91" s="264" t="s">
        <v>1626</v>
      </c>
      <c r="L91" s="264" t="s">
        <v>1575</v>
      </c>
    </row>
    <row r="92" spans="1:12" ht="15.75" customHeight="1">
      <c r="A92" s="259">
        <v>222057</v>
      </c>
      <c r="B92" s="260"/>
      <c r="C92" s="261" t="s">
        <v>1629</v>
      </c>
      <c r="D92" s="260"/>
      <c r="E92" s="262">
        <v>1</v>
      </c>
      <c r="F92" s="260"/>
      <c r="G92" s="416"/>
      <c r="H92" s="260"/>
      <c r="I92" s="263">
        <f t="shared" si="4"/>
        <v>0</v>
      </c>
      <c r="J92" s="260"/>
      <c r="K92" s="264" t="s">
        <v>1626</v>
      </c>
      <c r="L92" s="264" t="s">
        <v>1575</v>
      </c>
    </row>
    <row r="93" spans="1:12" ht="15.75" customHeight="1">
      <c r="A93" s="259">
        <v>222058</v>
      </c>
      <c r="B93" s="260"/>
      <c r="C93" s="261" t="s">
        <v>1581</v>
      </c>
      <c r="D93" s="260"/>
      <c r="E93" s="262">
        <v>20</v>
      </c>
      <c r="F93" s="260"/>
      <c r="G93" s="416"/>
      <c r="H93" s="260"/>
      <c r="I93" s="263">
        <f t="shared" si="4"/>
        <v>0</v>
      </c>
      <c r="J93" s="260"/>
      <c r="K93" s="264" t="s">
        <v>1626</v>
      </c>
      <c r="L93" s="264" t="s">
        <v>1575</v>
      </c>
    </row>
    <row r="94" spans="1:12" ht="15.75" customHeight="1">
      <c r="A94" s="259">
        <v>222059</v>
      </c>
      <c r="B94" s="260"/>
      <c r="C94" s="261" t="s">
        <v>1582</v>
      </c>
      <c r="D94" s="260"/>
      <c r="E94" s="262">
        <v>3</v>
      </c>
      <c r="F94" s="260"/>
      <c r="G94" s="416"/>
      <c r="H94" s="260"/>
      <c r="I94" s="263">
        <f t="shared" si="4"/>
        <v>0</v>
      </c>
      <c r="J94" s="260"/>
      <c r="K94" s="264" t="s">
        <v>1626</v>
      </c>
      <c r="L94" s="264" t="s">
        <v>1575</v>
      </c>
    </row>
    <row r="95" spans="1:12" ht="15.75" customHeight="1">
      <c r="A95" s="259">
        <v>222060</v>
      </c>
      <c r="B95" s="260"/>
      <c r="C95" s="261" t="s">
        <v>1630</v>
      </c>
      <c r="D95" s="260"/>
      <c r="E95" s="262">
        <v>300</v>
      </c>
      <c r="F95" s="260"/>
      <c r="G95" s="416"/>
      <c r="H95" s="260"/>
      <c r="I95" s="263">
        <f t="shared" si="4"/>
        <v>0</v>
      </c>
      <c r="J95" s="260"/>
      <c r="K95" s="264" t="s">
        <v>1626</v>
      </c>
      <c r="L95" s="264" t="s">
        <v>1575</v>
      </c>
    </row>
    <row r="96" spans="1:12" ht="15.75" customHeight="1">
      <c r="A96" s="259">
        <v>222061</v>
      </c>
      <c r="B96" s="260"/>
      <c r="C96" s="261" t="s">
        <v>1631</v>
      </c>
      <c r="D96" s="260"/>
      <c r="E96" s="262">
        <v>1500</v>
      </c>
      <c r="F96" s="260"/>
      <c r="G96" s="416"/>
      <c r="H96" s="260"/>
      <c r="I96" s="263">
        <f t="shared" si="4"/>
        <v>0</v>
      </c>
      <c r="J96" s="260"/>
      <c r="K96" s="264" t="s">
        <v>1626</v>
      </c>
      <c r="L96" s="264" t="s">
        <v>1575</v>
      </c>
    </row>
    <row r="97" spans="1:12" ht="15.75" customHeight="1">
      <c r="A97" s="259">
        <v>222062</v>
      </c>
      <c r="B97" s="260"/>
      <c r="C97" s="261" t="s">
        <v>1632</v>
      </c>
      <c r="D97" s="260"/>
      <c r="E97" s="262">
        <v>40</v>
      </c>
      <c r="F97" s="260"/>
      <c r="G97" s="416"/>
      <c r="H97" s="260"/>
      <c r="I97" s="263">
        <f t="shared" si="4"/>
        <v>0</v>
      </c>
      <c r="J97" s="260"/>
      <c r="K97" s="264" t="s">
        <v>1626</v>
      </c>
      <c r="L97" s="264" t="s">
        <v>1575</v>
      </c>
    </row>
    <row r="98" spans="1:12" ht="15.75" customHeight="1">
      <c r="A98" s="259">
        <v>222063</v>
      </c>
      <c r="B98" s="260"/>
      <c r="C98" s="261" t="s">
        <v>1633</v>
      </c>
      <c r="D98" s="260"/>
      <c r="E98" s="262">
        <v>15</v>
      </c>
      <c r="F98" s="260"/>
      <c r="G98" s="416"/>
      <c r="H98" s="260"/>
      <c r="I98" s="263">
        <f t="shared" si="4"/>
        <v>0</v>
      </c>
      <c r="J98" s="260"/>
      <c r="K98" s="264" t="s">
        <v>1626</v>
      </c>
      <c r="L98" s="264" t="s">
        <v>1575</v>
      </c>
    </row>
    <row r="99" spans="1:12" ht="15.75" customHeight="1">
      <c r="A99" s="259">
        <v>222064</v>
      </c>
      <c r="B99" s="260"/>
      <c r="C99" s="261" t="s">
        <v>1634</v>
      </c>
      <c r="D99" s="260"/>
      <c r="E99" s="262">
        <v>1</v>
      </c>
      <c r="F99" s="260"/>
      <c r="G99" s="416"/>
      <c r="H99" s="260"/>
      <c r="I99" s="263">
        <f t="shared" si="4"/>
        <v>0</v>
      </c>
      <c r="J99" s="260"/>
      <c r="K99" s="264" t="s">
        <v>1626</v>
      </c>
      <c r="L99" s="264" t="s">
        <v>1575</v>
      </c>
    </row>
    <row r="100" spans="1:12" ht="15.75" customHeight="1">
      <c r="A100" s="259">
        <v>222065</v>
      </c>
      <c r="B100" s="260"/>
      <c r="C100" s="261" t="s">
        <v>1635</v>
      </c>
      <c r="D100" s="260"/>
      <c r="E100" s="262">
        <v>1</v>
      </c>
      <c r="F100" s="260"/>
      <c r="G100" s="416"/>
      <c r="H100" s="260"/>
      <c r="I100" s="263">
        <f t="shared" si="4"/>
        <v>0</v>
      </c>
      <c r="J100" s="260"/>
      <c r="K100" s="264" t="s">
        <v>1626</v>
      </c>
      <c r="L100" s="264" t="s">
        <v>1575</v>
      </c>
    </row>
    <row r="101" spans="1:12" ht="15.75" customHeight="1">
      <c r="A101" s="259">
        <v>222066</v>
      </c>
      <c r="B101" s="260"/>
      <c r="C101" s="261" t="s">
        <v>1636</v>
      </c>
      <c r="D101" s="260"/>
      <c r="E101" s="262">
        <v>43</v>
      </c>
      <c r="F101" s="260"/>
      <c r="G101" s="416"/>
      <c r="H101" s="260"/>
      <c r="I101" s="263">
        <f t="shared" si="4"/>
        <v>0</v>
      </c>
      <c r="J101" s="260"/>
      <c r="K101" s="264" t="s">
        <v>1626</v>
      </c>
      <c r="L101" s="264" t="s">
        <v>1575</v>
      </c>
    </row>
    <row r="102" spans="1:12" ht="15.75" customHeight="1">
      <c r="A102" s="259"/>
      <c r="B102" s="260"/>
      <c r="C102" s="261"/>
      <c r="D102" s="260"/>
      <c r="E102" s="262"/>
      <c r="F102" s="260"/>
      <c r="G102" s="416"/>
      <c r="H102" s="260"/>
      <c r="I102" s="263"/>
      <c r="J102" s="260"/>
      <c r="K102" s="264"/>
      <c r="L102" s="264"/>
    </row>
    <row r="103" spans="1:12" ht="15.75" customHeight="1">
      <c r="A103" s="259">
        <v>222067</v>
      </c>
      <c r="B103" s="260"/>
      <c r="C103" s="261" t="s">
        <v>1637</v>
      </c>
      <c r="D103" s="260"/>
      <c r="E103" s="262">
        <v>20</v>
      </c>
      <c r="F103" s="260"/>
      <c r="G103" s="416"/>
      <c r="H103" s="260"/>
      <c r="I103" s="263">
        <f t="shared" si="4"/>
        <v>0</v>
      </c>
      <c r="J103" s="260"/>
      <c r="K103" s="264" t="s">
        <v>1626</v>
      </c>
      <c r="L103" s="264" t="s">
        <v>1575</v>
      </c>
    </row>
    <row r="104" spans="1:12" ht="15.75" customHeight="1">
      <c r="A104" s="259">
        <v>222068</v>
      </c>
      <c r="B104" s="260"/>
      <c r="C104" s="261" t="s">
        <v>1638</v>
      </c>
      <c r="D104" s="260"/>
      <c r="E104" s="262">
        <v>3</v>
      </c>
      <c r="F104" s="260"/>
      <c r="G104" s="416"/>
      <c r="H104" s="260"/>
      <c r="I104" s="263">
        <f>E104*G104</f>
        <v>0</v>
      </c>
      <c r="J104" s="260"/>
      <c r="K104" s="264" t="s">
        <v>1626</v>
      </c>
      <c r="L104" s="264" t="s">
        <v>1575</v>
      </c>
    </row>
    <row r="105" spans="1:12" ht="15.75" customHeight="1">
      <c r="A105" s="259">
        <v>222069</v>
      </c>
      <c r="B105" s="260"/>
      <c r="C105" s="261" t="s">
        <v>1639</v>
      </c>
      <c r="D105" s="260"/>
      <c r="E105" s="262">
        <v>1</v>
      </c>
      <c r="F105" s="260"/>
      <c r="G105" s="416"/>
      <c r="H105" s="260"/>
      <c r="I105" s="263">
        <f t="shared" si="4"/>
        <v>0</v>
      </c>
      <c r="J105" s="260"/>
      <c r="K105" s="264" t="s">
        <v>1626</v>
      </c>
      <c r="L105" s="264" t="s">
        <v>1575</v>
      </c>
    </row>
    <row r="106" spans="1:12" ht="15.75" customHeight="1">
      <c r="A106" s="259">
        <v>222070</v>
      </c>
      <c r="B106" s="260"/>
      <c r="C106" s="261" t="s">
        <v>1640</v>
      </c>
      <c r="D106" s="260"/>
      <c r="E106" s="262">
        <v>40</v>
      </c>
      <c r="F106" s="260"/>
      <c r="G106" s="416"/>
      <c r="H106" s="260"/>
      <c r="I106" s="263">
        <f t="shared" si="4"/>
        <v>0</v>
      </c>
      <c r="J106" s="260"/>
      <c r="K106" s="264" t="s">
        <v>1626</v>
      </c>
      <c r="L106" s="264" t="s">
        <v>1575</v>
      </c>
    </row>
    <row r="107" spans="1:12" ht="15.75" customHeight="1">
      <c r="A107" s="259">
        <v>222071</v>
      </c>
      <c r="B107" s="260"/>
      <c r="C107" s="261" t="s">
        <v>1641</v>
      </c>
      <c r="D107" s="260"/>
      <c r="E107" s="262">
        <v>40</v>
      </c>
      <c r="F107" s="260"/>
      <c r="G107" s="416"/>
      <c r="H107" s="260"/>
      <c r="I107" s="263">
        <f t="shared" si="4"/>
        <v>0</v>
      </c>
      <c r="J107" s="260"/>
      <c r="K107" s="264" t="s">
        <v>1626</v>
      </c>
      <c r="L107" s="264" t="s">
        <v>1575</v>
      </c>
    </row>
    <row r="108" spans="1:12" ht="15.75" customHeight="1">
      <c r="A108" s="259">
        <v>222072</v>
      </c>
      <c r="B108" s="260"/>
      <c r="C108" s="261" t="s">
        <v>1642</v>
      </c>
      <c r="D108" s="260"/>
      <c r="E108" s="262">
        <v>25</v>
      </c>
      <c r="F108" s="260"/>
      <c r="G108" s="416"/>
      <c r="H108" s="260"/>
      <c r="I108" s="263">
        <f t="shared" si="4"/>
        <v>0</v>
      </c>
      <c r="J108" s="260"/>
      <c r="K108" s="264" t="s">
        <v>1626</v>
      </c>
      <c r="L108" s="264" t="s">
        <v>1575</v>
      </c>
    </row>
    <row r="109" spans="1:12" ht="15.75" customHeight="1">
      <c r="A109" s="259">
        <v>222073</v>
      </c>
      <c r="B109" s="260"/>
      <c r="C109" s="261" t="s">
        <v>1643</v>
      </c>
      <c r="D109" s="260"/>
      <c r="E109" s="262">
        <v>15</v>
      </c>
      <c r="F109" s="260"/>
      <c r="G109" s="416"/>
      <c r="H109" s="260"/>
      <c r="I109" s="263">
        <f t="shared" si="4"/>
        <v>0</v>
      </c>
      <c r="J109" s="260"/>
      <c r="K109" s="264" t="s">
        <v>1626</v>
      </c>
      <c r="L109" s="264" t="s">
        <v>1575</v>
      </c>
    </row>
    <row r="110" spans="1:12" ht="15.75" customHeight="1">
      <c r="A110" s="259">
        <v>222074</v>
      </c>
      <c r="B110" s="260"/>
      <c r="C110" s="261" t="s">
        <v>1644</v>
      </c>
      <c r="D110" s="260"/>
      <c r="E110" s="262">
        <v>3</v>
      </c>
      <c r="F110" s="260"/>
      <c r="G110" s="416"/>
      <c r="H110" s="260"/>
      <c r="I110" s="263">
        <f t="shared" si="4"/>
        <v>0</v>
      </c>
      <c r="J110" s="260"/>
      <c r="K110" s="264" t="s">
        <v>1626</v>
      </c>
      <c r="L110" s="264" t="s">
        <v>1575</v>
      </c>
    </row>
    <row r="111" spans="1:12" ht="15.75" customHeight="1">
      <c r="A111" s="259">
        <v>222075</v>
      </c>
      <c r="B111" s="260"/>
      <c r="C111" s="261" t="s">
        <v>1645</v>
      </c>
      <c r="D111" s="260"/>
      <c r="E111" s="262">
        <v>1</v>
      </c>
      <c r="F111" s="260"/>
      <c r="G111" s="416"/>
      <c r="H111" s="260"/>
      <c r="I111" s="263">
        <f t="shared" si="4"/>
        <v>0</v>
      </c>
      <c r="J111" s="260"/>
      <c r="K111" s="264" t="s">
        <v>1626</v>
      </c>
      <c r="L111" s="264" t="s">
        <v>1575</v>
      </c>
    </row>
    <row r="112" spans="1:15" ht="15.75" customHeight="1">
      <c r="A112" s="259">
        <v>222076</v>
      </c>
      <c r="B112" s="260"/>
      <c r="C112" s="261" t="s">
        <v>1646</v>
      </c>
      <c r="D112" s="260"/>
      <c r="E112" s="262">
        <v>1</v>
      </c>
      <c r="F112" s="260"/>
      <c r="G112" s="416"/>
      <c r="H112" s="260"/>
      <c r="I112" s="263">
        <f t="shared" si="4"/>
        <v>0</v>
      </c>
      <c r="J112" s="260"/>
      <c r="K112" s="264" t="s">
        <v>1626</v>
      </c>
      <c r="L112" s="264" t="s">
        <v>1575</v>
      </c>
      <c r="O112" s="268"/>
    </row>
    <row r="113" spans="1:15" ht="15.75" customHeight="1">
      <c r="A113" s="259"/>
      <c r="B113" s="260"/>
      <c r="C113" s="261"/>
      <c r="D113" s="260"/>
      <c r="E113" s="262"/>
      <c r="F113" s="260"/>
      <c r="G113" s="416"/>
      <c r="H113" s="260"/>
      <c r="I113" s="263"/>
      <c r="J113" s="260"/>
      <c r="K113" s="264"/>
      <c r="L113" s="264"/>
      <c r="O113" s="268"/>
    </row>
    <row r="114" spans="1:15" ht="15.75" customHeight="1">
      <c r="A114" s="259"/>
      <c r="B114" s="260"/>
      <c r="C114" s="261"/>
      <c r="D114" s="260"/>
      <c r="E114" s="262"/>
      <c r="F114" s="260"/>
      <c r="G114" s="416"/>
      <c r="H114" s="260"/>
      <c r="I114" s="263"/>
      <c r="J114" s="260"/>
      <c r="K114" s="264"/>
      <c r="L114" s="264"/>
      <c r="O114" s="268"/>
    </row>
    <row r="115" spans="1:15" ht="15.75" customHeight="1">
      <c r="A115" s="259"/>
      <c r="B115" s="260"/>
      <c r="C115" s="258" t="s">
        <v>1598</v>
      </c>
      <c r="D115" s="260"/>
      <c r="E115" s="262"/>
      <c r="F115" s="260"/>
      <c r="G115" s="416"/>
      <c r="H115" s="260"/>
      <c r="I115" s="263"/>
      <c r="J115" s="260"/>
      <c r="K115" s="264"/>
      <c r="L115" s="264"/>
      <c r="O115" s="268"/>
    </row>
    <row r="116" spans="1:15" ht="15.75" customHeight="1">
      <c r="A116" s="259"/>
      <c r="B116" s="260"/>
      <c r="C116" s="261"/>
      <c r="D116" s="260"/>
      <c r="E116" s="262"/>
      <c r="F116" s="260"/>
      <c r="G116" s="416"/>
      <c r="H116" s="260"/>
      <c r="I116" s="263"/>
      <c r="J116" s="260"/>
      <c r="K116" s="264"/>
      <c r="L116" s="264"/>
      <c r="O116" s="268"/>
    </row>
    <row r="117" spans="1:15" ht="15.75" customHeight="1">
      <c r="A117" s="259">
        <v>222077</v>
      </c>
      <c r="B117" s="260"/>
      <c r="C117" s="261" t="s">
        <v>1625</v>
      </c>
      <c r="D117" s="260"/>
      <c r="E117" s="262">
        <v>1</v>
      </c>
      <c r="F117" s="260"/>
      <c r="G117" s="416"/>
      <c r="H117" s="260"/>
      <c r="I117" s="263">
        <f aca="true" t="shared" si="5" ref="I117:I131">E117*G117</f>
        <v>0</v>
      </c>
      <c r="J117" s="260"/>
      <c r="K117" s="264" t="s">
        <v>1626</v>
      </c>
      <c r="L117" s="264" t="s">
        <v>1575</v>
      </c>
      <c r="O117" s="268"/>
    </row>
    <row r="118" spans="1:15" ht="15.75" customHeight="1">
      <c r="A118" s="259">
        <v>222078</v>
      </c>
      <c r="B118" s="260"/>
      <c r="C118" s="261" t="s">
        <v>1647</v>
      </c>
      <c r="D118" s="260"/>
      <c r="E118" s="262">
        <v>1</v>
      </c>
      <c r="F118" s="260"/>
      <c r="G118" s="416"/>
      <c r="H118" s="260"/>
      <c r="I118" s="263">
        <f t="shared" si="5"/>
        <v>0</v>
      </c>
      <c r="J118" s="260"/>
      <c r="K118" s="264" t="s">
        <v>1626</v>
      </c>
      <c r="L118" s="264" t="s">
        <v>1575</v>
      </c>
      <c r="O118" s="268"/>
    </row>
    <row r="119" spans="1:15" ht="15.75" customHeight="1">
      <c r="A119" s="259">
        <v>222079</v>
      </c>
      <c r="B119" s="260"/>
      <c r="C119" s="261" t="s">
        <v>1648</v>
      </c>
      <c r="D119" s="260"/>
      <c r="E119" s="262">
        <v>2</v>
      </c>
      <c r="F119" s="260"/>
      <c r="G119" s="416"/>
      <c r="H119" s="260"/>
      <c r="I119" s="263">
        <f t="shared" si="5"/>
        <v>0</v>
      </c>
      <c r="J119" s="260"/>
      <c r="K119" s="264" t="s">
        <v>1626</v>
      </c>
      <c r="L119" s="264" t="s">
        <v>1575</v>
      </c>
      <c r="O119" s="268"/>
    </row>
    <row r="120" spans="1:15" ht="15.75" customHeight="1">
      <c r="A120" s="259">
        <v>222080</v>
      </c>
      <c r="B120" s="260"/>
      <c r="C120" s="261" t="s">
        <v>1649</v>
      </c>
      <c r="D120" s="260"/>
      <c r="E120" s="262">
        <v>1</v>
      </c>
      <c r="F120" s="260"/>
      <c r="G120" s="416"/>
      <c r="H120" s="260"/>
      <c r="I120" s="263">
        <f t="shared" si="5"/>
        <v>0</v>
      </c>
      <c r="J120" s="260"/>
      <c r="K120" s="264" t="s">
        <v>1626</v>
      </c>
      <c r="L120" s="264" t="s">
        <v>1575</v>
      </c>
      <c r="O120" s="268"/>
    </row>
    <row r="121" spans="1:15" ht="15.75" customHeight="1">
      <c r="A121" s="259">
        <v>222081</v>
      </c>
      <c r="B121" s="260"/>
      <c r="C121" s="261" t="s">
        <v>1650</v>
      </c>
      <c r="D121" s="260"/>
      <c r="E121" s="262">
        <v>1</v>
      </c>
      <c r="F121" s="260"/>
      <c r="G121" s="416"/>
      <c r="H121" s="260"/>
      <c r="I121" s="263">
        <f t="shared" si="5"/>
        <v>0</v>
      </c>
      <c r="J121" s="260"/>
      <c r="K121" s="264" t="s">
        <v>1626</v>
      </c>
      <c r="L121" s="264" t="s">
        <v>1575</v>
      </c>
      <c r="O121" s="268"/>
    </row>
    <row r="122" spans="1:15" ht="15.75" customHeight="1">
      <c r="A122" s="259">
        <v>222082</v>
      </c>
      <c r="B122" s="260"/>
      <c r="C122" s="261" t="s">
        <v>1651</v>
      </c>
      <c r="D122" s="260"/>
      <c r="E122" s="262">
        <v>3</v>
      </c>
      <c r="F122" s="260"/>
      <c r="G122" s="416"/>
      <c r="H122" s="260"/>
      <c r="I122" s="263">
        <f t="shared" si="5"/>
        <v>0</v>
      </c>
      <c r="J122" s="260"/>
      <c r="K122" s="264" t="s">
        <v>1626</v>
      </c>
      <c r="L122" s="264" t="s">
        <v>1575</v>
      </c>
      <c r="O122" s="268"/>
    </row>
    <row r="123" spans="1:15" ht="15.75" customHeight="1">
      <c r="A123" s="259">
        <v>222083</v>
      </c>
      <c r="B123" s="260"/>
      <c r="C123" s="261" t="s">
        <v>1652</v>
      </c>
      <c r="D123" s="260"/>
      <c r="E123" s="262">
        <v>3</v>
      </c>
      <c r="F123" s="260"/>
      <c r="G123" s="416"/>
      <c r="H123" s="260"/>
      <c r="I123" s="263">
        <f t="shared" si="5"/>
        <v>0</v>
      </c>
      <c r="J123" s="260"/>
      <c r="K123" s="264" t="s">
        <v>1626</v>
      </c>
      <c r="L123" s="264" t="s">
        <v>1575</v>
      </c>
      <c r="O123" s="268"/>
    </row>
    <row r="124" spans="1:15" ht="15.75" customHeight="1">
      <c r="A124" s="259">
        <v>222084</v>
      </c>
      <c r="B124" s="260"/>
      <c r="C124" s="261" t="s">
        <v>1653</v>
      </c>
      <c r="D124" s="260"/>
      <c r="E124" s="262">
        <v>1</v>
      </c>
      <c r="F124" s="260"/>
      <c r="G124" s="416"/>
      <c r="H124" s="260"/>
      <c r="I124" s="263">
        <f t="shared" si="5"/>
        <v>0</v>
      </c>
      <c r="J124" s="260"/>
      <c r="K124" s="264" t="s">
        <v>1626</v>
      </c>
      <c r="L124" s="264" t="s">
        <v>1575</v>
      </c>
      <c r="O124" s="268"/>
    </row>
    <row r="125" spans="1:15" ht="15.75" customHeight="1">
      <c r="A125" s="259"/>
      <c r="B125" s="260"/>
      <c r="C125" s="261"/>
      <c r="D125" s="260"/>
      <c r="E125" s="262"/>
      <c r="F125" s="260"/>
      <c r="G125" s="416"/>
      <c r="H125" s="260"/>
      <c r="I125" s="263"/>
      <c r="J125" s="260"/>
      <c r="K125" s="264"/>
      <c r="L125" s="264"/>
      <c r="O125" s="268"/>
    </row>
    <row r="126" spans="1:15" ht="15.75" customHeight="1">
      <c r="A126" s="259">
        <v>222085</v>
      </c>
      <c r="B126" s="260"/>
      <c r="C126" s="261" t="s">
        <v>1630</v>
      </c>
      <c r="D126" s="260"/>
      <c r="E126" s="262">
        <v>8</v>
      </c>
      <c r="F126" s="260"/>
      <c r="G126" s="416"/>
      <c r="H126" s="260"/>
      <c r="I126" s="263">
        <f t="shared" si="5"/>
        <v>0</v>
      </c>
      <c r="J126" s="260"/>
      <c r="K126" s="264" t="s">
        <v>1626</v>
      </c>
      <c r="L126" s="264" t="s">
        <v>1575</v>
      </c>
      <c r="O126" s="268"/>
    </row>
    <row r="127" spans="1:15" ht="15.75" customHeight="1">
      <c r="A127" s="259">
        <v>222086</v>
      </c>
      <c r="B127" s="260"/>
      <c r="C127" s="261" t="s">
        <v>1631</v>
      </c>
      <c r="D127" s="260"/>
      <c r="E127" s="262">
        <v>272</v>
      </c>
      <c r="F127" s="260"/>
      <c r="G127" s="416"/>
      <c r="H127" s="260"/>
      <c r="I127" s="263">
        <f t="shared" si="5"/>
        <v>0</v>
      </c>
      <c r="J127" s="260"/>
      <c r="K127" s="264" t="s">
        <v>1626</v>
      </c>
      <c r="L127" s="264" t="s">
        <v>1575</v>
      </c>
      <c r="O127" s="268"/>
    </row>
    <row r="128" spans="1:15" ht="15.75" customHeight="1">
      <c r="A128" s="259">
        <v>222087</v>
      </c>
      <c r="B128" s="260"/>
      <c r="C128" s="261" t="s">
        <v>1654</v>
      </c>
      <c r="D128" s="269"/>
      <c r="E128" s="262">
        <v>10</v>
      </c>
      <c r="F128" s="260"/>
      <c r="G128" s="416"/>
      <c r="H128" s="260"/>
      <c r="I128" s="263">
        <f t="shared" si="5"/>
        <v>0</v>
      </c>
      <c r="J128" s="260"/>
      <c r="K128" s="264" t="s">
        <v>1626</v>
      </c>
      <c r="L128" s="264" t="s">
        <v>1575</v>
      </c>
      <c r="O128" s="268"/>
    </row>
    <row r="129" spans="1:15" ht="15.75" customHeight="1">
      <c r="A129" s="259">
        <v>222088</v>
      </c>
      <c r="B129" s="260"/>
      <c r="C129" s="261" t="s">
        <v>1633</v>
      </c>
      <c r="D129" s="260"/>
      <c r="E129" s="262">
        <v>15</v>
      </c>
      <c r="F129" s="260"/>
      <c r="G129" s="416"/>
      <c r="H129" s="260"/>
      <c r="I129" s="263">
        <f>E129*G129</f>
        <v>0</v>
      </c>
      <c r="J129" s="260"/>
      <c r="K129" s="264" t="s">
        <v>1626</v>
      </c>
      <c r="L129" s="264" t="s">
        <v>1575</v>
      </c>
      <c r="O129" s="268"/>
    </row>
    <row r="130" spans="1:15" ht="15.75" customHeight="1">
      <c r="A130" s="259">
        <v>222089</v>
      </c>
      <c r="B130" s="260"/>
      <c r="C130" s="261" t="s">
        <v>1637</v>
      </c>
      <c r="D130" s="260"/>
      <c r="E130" s="262">
        <v>6</v>
      </c>
      <c r="F130" s="260"/>
      <c r="G130" s="416"/>
      <c r="H130" s="260"/>
      <c r="I130" s="263">
        <f t="shared" si="5"/>
        <v>0</v>
      </c>
      <c r="J130" s="260"/>
      <c r="K130" s="264" t="s">
        <v>1626</v>
      </c>
      <c r="L130" s="264" t="s">
        <v>1575</v>
      </c>
      <c r="O130" s="268"/>
    </row>
    <row r="131" spans="1:15" ht="15.75" customHeight="1">
      <c r="A131" s="259">
        <v>222090</v>
      </c>
      <c r="B131" s="260"/>
      <c r="C131" s="261" t="s">
        <v>1655</v>
      </c>
      <c r="D131" s="260"/>
      <c r="E131" s="262">
        <v>1</v>
      </c>
      <c r="F131" s="260"/>
      <c r="G131" s="416"/>
      <c r="H131" s="260"/>
      <c r="I131" s="263">
        <f t="shared" si="5"/>
        <v>0</v>
      </c>
      <c r="J131" s="260"/>
      <c r="K131" s="264" t="s">
        <v>1626</v>
      </c>
      <c r="L131" s="264" t="s">
        <v>1575</v>
      </c>
      <c r="O131" s="268"/>
    </row>
    <row r="132" spans="1:15" ht="15.75" customHeight="1">
      <c r="A132" s="259"/>
      <c r="B132" s="260"/>
      <c r="C132" s="261"/>
      <c r="D132" s="260"/>
      <c r="E132" s="262"/>
      <c r="F132" s="260"/>
      <c r="G132" s="416"/>
      <c r="H132" s="260"/>
      <c r="I132" s="263"/>
      <c r="J132" s="260"/>
      <c r="K132" s="264"/>
      <c r="L132" s="264"/>
      <c r="O132" s="268"/>
    </row>
    <row r="133" spans="1:15" ht="15.75" customHeight="1">
      <c r="A133" s="259"/>
      <c r="B133" s="260"/>
      <c r="C133" s="261"/>
      <c r="D133" s="260"/>
      <c r="E133" s="262"/>
      <c r="F133" s="260"/>
      <c r="G133" s="416"/>
      <c r="H133" s="260"/>
      <c r="I133" s="263"/>
      <c r="J133" s="260"/>
      <c r="K133" s="264"/>
      <c r="L133" s="264"/>
      <c r="O133" s="268"/>
    </row>
    <row r="134" spans="1:15" ht="15.75" customHeight="1">
      <c r="A134" s="259"/>
      <c r="B134" s="260"/>
      <c r="C134" s="258" t="s">
        <v>1613</v>
      </c>
      <c r="D134" s="260"/>
      <c r="E134" s="262"/>
      <c r="F134" s="260"/>
      <c r="G134" s="416"/>
      <c r="H134" s="260"/>
      <c r="I134" s="263"/>
      <c r="J134" s="260"/>
      <c r="K134" s="264"/>
      <c r="L134" s="264"/>
      <c r="O134" s="268"/>
    </row>
    <row r="135" spans="1:15" ht="15.75" customHeight="1">
      <c r="A135" s="259"/>
      <c r="B135" s="260"/>
      <c r="C135" s="261"/>
      <c r="D135" s="260"/>
      <c r="E135" s="262"/>
      <c r="F135" s="260"/>
      <c r="G135" s="416"/>
      <c r="H135" s="260"/>
      <c r="I135" s="263"/>
      <c r="J135" s="260"/>
      <c r="K135" s="264"/>
      <c r="L135" s="264"/>
      <c r="O135" s="268"/>
    </row>
    <row r="136" spans="1:15" ht="15.75" customHeight="1">
      <c r="A136" s="259">
        <v>222091</v>
      </c>
      <c r="B136" s="260"/>
      <c r="C136" s="261" t="s">
        <v>1625</v>
      </c>
      <c r="D136" s="260"/>
      <c r="E136" s="262">
        <v>1</v>
      </c>
      <c r="F136" s="260"/>
      <c r="G136" s="416"/>
      <c r="H136" s="260"/>
      <c r="I136" s="263">
        <f aca="true" t="shared" si="6" ref="I136:I142">E136*G136</f>
        <v>0</v>
      </c>
      <c r="J136" s="260"/>
      <c r="K136" s="264" t="s">
        <v>1626</v>
      </c>
      <c r="L136" s="264" t="s">
        <v>1575</v>
      </c>
      <c r="O136" s="268"/>
    </row>
    <row r="137" spans="1:15" ht="15.75" customHeight="1">
      <c r="A137" s="259">
        <v>222092</v>
      </c>
      <c r="B137" s="260"/>
      <c r="C137" s="261" t="s">
        <v>1656</v>
      </c>
      <c r="D137" s="260"/>
      <c r="E137" s="262">
        <v>1</v>
      </c>
      <c r="F137" s="260"/>
      <c r="G137" s="416"/>
      <c r="H137" s="260"/>
      <c r="I137" s="263">
        <f t="shared" si="6"/>
        <v>0</v>
      </c>
      <c r="J137" s="260"/>
      <c r="K137" s="264" t="s">
        <v>1626</v>
      </c>
      <c r="L137" s="264" t="s">
        <v>1575</v>
      </c>
      <c r="O137" s="268"/>
    </row>
    <row r="138" spans="1:15" ht="15.75" customHeight="1">
      <c r="A138" s="259">
        <v>222093</v>
      </c>
      <c r="B138" s="260"/>
      <c r="C138" s="261" t="s">
        <v>1657</v>
      </c>
      <c r="D138" s="260"/>
      <c r="E138" s="262">
        <v>3</v>
      </c>
      <c r="F138" s="260"/>
      <c r="G138" s="416"/>
      <c r="H138" s="260"/>
      <c r="I138" s="263">
        <f t="shared" si="6"/>
        <v>0</v>
      </c>
      <c r="J138" s="260"/>
      <c r="K138" s="264" t="s">
        <v>1626</v>
      </c>
      <c r="L138" s="264" t="s">
        <v>1575</v>
      </c>
      <c r="O138" s="268"/>
    </row>
    <row r="139" spans="1:15" ht="15.75" customHeight="1">
      <c r="A139" s="259">
        <v>222094</v>
      </c>
      <c r="B139" s="260"/>
      <c r="C139" s="261" t="s">
        <v>1658</v>
      </c>
      <c r="D139" s="260"/>
      <c r="E139" s="262">
        <v>2</v>
      </c>
      <c r="F139" s="260"/>
      <c r="G139" s="416"/>
      <c r="H139" s="260"/>
      <c r="I139" s="263">
        <f t="shared" si="6"/>
        <v>0</v>
      </c>
      <c r="J139" s="260"/>
      <c r="K139" s="264" t="s">
        <v>1626</v>
      </c>
      <c r="L139" s="264" t="s">
        <v>1575</v>
      </c>
      <c r="O139" s="268"/>
    </row>
    <row r="140" spans="1:15" ht="15.75" customHeight="1">
      <c r="A140" s="259"/>
      <c r="B140" s="260"/>
      <c r="C140" s="261"/>
      <c r="D140" s="260"/>
      <c r="E140" s="262"/>
      <c r="F140" s="260"/>
      <c r="G140" s="416"/>
      <c r="H140" s="260"/>
      <c r="I140" s="263"/>
      <c r="J140" s="260"/>
      <c r="K140" s="264"/>
      <c r="L140" s="264"/>
      <c r="O140" s="268"/>
    </row>
    <row r="141" spans="1:15" ht="15.75" customHeight="1">
      <c r="A141" s="259">
        <v>222095</v>
      </c>
      <c r="B141" s="260"/>
      <c r="C141" s="261" t="s">
        <v>1631</v>
      </c>
      <c r="D141" s="260"/>
      <c r="E141" s="262">
        <v>170</v>
      </c>
      <c r="F141" s="260"/>
      <c r="G141" s="416"/>
      <c r="H141" s="260"/>
      <c r="I141" s="263">
        <f t="shared" si="6"/>
        <v>0</v>
      </c>
      <c r="J141" s="260"/>
      <c r="K141" s="264" t="s">
        <v>1626</v>
      </c>
      <c r="L141" s="264" t="s">
        <v>1575</v>
      </c>
      <c r="O141" s="268"/>
    </row>
    <row r="142" spans="1:15" ht="15.75" customHeight="1">
      <c r="A142" s="259">
        <v>222096</v>
      </c>
      <c r="B142" s="260"/>
      <c r="C142" s="261" t="s">
        <v>1659</v>
      </c>
      <c r="D142" s="260"/>
      <c r="E142" s="262">
        <v>1</v>
      </c>
      <c r="F142" s="260"/>
      <c r="G142" s="416"/>
      <c r="H142" s="260"/>
      <c r="I142" s="263">
        <f t="shared" si="6"/>
        <v>0</v>
      </c>
      <c r="J142" s="260"/>
      <c r="K142" s="264" t="s">
        <v>1626</v>
      </c>
      <c r="L142" s="264" t="s">
        <v>1575</v>
      </c>
      <c r="O142" s="268"/>
    </row>
    <row r="143" spans="1:15" ht="15.75" customHeight="1">
      <c r="A143" s="259"/>
      <c r="B143" s="260"/>
      <c r="C143" s="261"/>
      <c r="D143" s="260"/>
      <c r="E143" s="262"/>
      <c r="F143" s="260"/>
      <c r="G143" s="263"/>
      <c r="H143" s="260"/>
      <c r="I143" s="263"/>
      <c r="J143" s="260"/>
      <c r="K143" s="264"/>
      <c r="L143" s="264"/>
      <c r="O143" s="268"/>
    </row>
    <row r="144" spans="1:15" ht="15.75" customHeight="1">
      <c r="A144" s="259"/>
      <c r="B144" s="260"/>
      <c r="C144" s="261"/>
      <c r="D144" s="260"/>
      <c r="E144" s="262"/>
      <c r="F144" s="260"/>
      <c r="G144" s="263"/>
      <c r="H144" s="260"/>
      <c r="I144" s="263"/>
      <c r="J144" s="260"/>
      <c r="K144" s="264"/>
      <c r="L144" s="264"/>
      <c r="O144" s="268"/>
    </row>
    <row r="145" spans="1:15" ht="15.75" customHeight="1">
      <c r="A145" s="259"/>
      <c r="B145" s="260"/>
      <c r="C145" s="261"/>
      <c r="D145" s="260"/>
      <c r="E145" s="262"/>
      <c r="F145" s="260"/>
      <c r="G145" s="263"/>
      <c r="H145" s="260"/>
      <c r="I145" s="263"/>
      <c r="J145" s="260"/>
      <c r="K145" s="264"/>
      <c r="L145" s="264"/>
      <c r="O145" s="268"/>
    </row>
    <row r="146" spans="1:15" ht="15.75" customHeight="1">
      <c r="A146" s="259"/>
      <c r="B146" s="260"/>
      <c r="C146" s="261"/>
      <c r="D146" s="260"/>
      <c r="E146" s="262"/>
      <c r="F146" s="260"/>
      <c r="G146" s="263"/>
      <c r="H146" s="260"/>
      <c r="I146" s="263"/>
      <c r="J146" s="260"/>
      <c r="K146" s="264"/>
      <c r="L146" s="264"/>
      <c r="O146" s="268"/>
    </row>
    <row r="147" spans="1:15" ht="15.75" customHeight="1">
      <c r="A147" s="259"/>
      <c r="B147" s="260"/>
      <c r="C147" s="261"/>
      <c r="D147" s="260"/>
      <c r="E147" s="262"/>
      <c r="F147" s="260"/>
      <c r="G147" s="263"/>
      <c r="H147" s="260"/>
      <c r="I147" s="263"/>
      <c r="J147" s="260"/>
      <c r="K147" s="264"/>
      <c r="L147" s="264"/>
      <c r="O147" s="268"/>
    </row>
    <row r="148" spans="1:15" ht="15.75" customHeight="1">
      <c r="A148" s="259"/>
      <c r="B148" s="260"/>
      <c r="C148" s="261"/>
      <c r="D148" s="260"/>
      <c r="E148" s="262"/>
      <c r="F148" s="260"/>
      <c r="G148" s="263"/>
      <c r="H148" s="260"/>
      <c r="I148" s="263"/>
      <c r="J148" s="260"/>
      <c r="K148" s="264"/>
      <c r="L148" s="264"/>
      <c r="O148" s="268"/>
    </row>
    <row r="149" spans="1:15" ht="15.75" customHeight="1">
      <c r="A149" s="259"/>
      <c r="B149" s="260"/>
      <c r="C149" s="261"/>
      <c r="D149" s="260"/>
      <c r="E149" s="262"/>
      <c r="F149" s="260"/>
      <c r="G149" s="263"/>
      <c r="H149" s="260"/>
      <c r="I149" s="267"/>
      <c r="J149" s="260"/>
      <c r="K149" s="264"/>
      <c r="L149" s="264"/>
      <c r="O149" s="268"/>
    </row>
    <row r="150" spans="1:12" ht="27" customHeight="1">
      <c r="A150" s="259"/>
      <c r="B150" s="260"/>
      <c r="C150" s="261"/>
      <c r="D150" s="260"/>
      <c r="E150" s="262"/>
      <c r="F150" s="260"/>
      <c r="G150" s="263"/>
      <c r="H150" s="260"/>
      <c r="I150" s="263"/>
      <c r="J150" s="260"/>
      <c r="K150" s="264"/>
      <c r="L150" s="264"/>
    </row>
    <row r="151" spans="1:12" ht="15.75" customHeight="1">
      <c r="A151" s="270"/>
      <c r="B151" s="270"/>
      <c r="C151" s="271" t="s">
        <v>1660</v>
      </c>
      <c r="D151" s="270"/>
      <c r="E151" s="270"/>
      <c r="F151" s="270"/>
      <c r="G151" s="270"/>
      <c r="H151" s="270"/>
      <c r="I151" s="270"/>
      <c r="J151" s="270"/>
      <c r="K151" s="270"/>
      <c r="L151" s="270"/>
    </row>
    <row r="152" spans="1:12" ht="15.75" customHeight="1">
      <c r="A152" s="272"/>
      <c r="B152" s="270"/>
      <c r="C152" s="270"/>
      <c r="D152" s="270"/>
      <c r="E152" s="270"/>
      <c r="F152" s="270"/>
      <c r="G152" s="270"/>
      <c r="H152" s="270"/>
      <c r="I152" s="270"/>
      <c r="J152" s="270"/>
      <c r="K152" s="270"/>
      <c r="L152" s="270"/>
    </row>
    <row r="153" spans="1:12" ht="15.75" customHeight="1">
      <c r="A153" s="270"/>
      <c r="B153" s="270"/>
      <c r="C153" s="273" t="s">
        <v>1661</v>
      </c>
      <c r="D153" s="270"/>
      <c r="E153" s="447">
        <f>SUM(I15:I84)</f>
        <v>0</v>
      </c>
      <c r="F153" s="447"/>
      <c r="G153" s="447"/>
      <c r="H153" s="270"/>
      <c r="I153" s="274" t="s">
        <v>1662</v>
      </c>
      <c r="J153" s="270"/>
      <c r="K153" s="270"/>
      <c r="L153" s="270"/>
    </row>
    <row r="154" spans="1:12" ht="15.75" customHeight="1">
      <c r="A154" s="270"/>
      <c r="B154" s="270"/>
      <c r="C154" s="273" t="s">
        <v>1663</v>
      </c>
      <c r="D154" s="270"/>
      <c r="E154" s="447">
        <f>SUM(I89:I149)</f>
        <v>0</v>
      </c>
      <c r="F154" s="447"/>
      <c r="G154" s="447"/>
      <c r="H154" s="270"/>
      <c r="I154" s="274" t="s">
        <v>1662</v>
      </c>
      <c r="J154" s="270"/>
      <c r="K154" s="270"/>
      <c r="L154" s="270"/>
    </row>
    <row r="155" spans="1:12" ht="15.75" customHeight="1">
      <c r="A155" s="270"/>
      <c r="B155" s="270"/>
      <c r="C155" s="273" t="s">
        <v>1664</v>
      </c>
      <c r="D155" s="270"/>
      <c r="E155" s="442"/>
      <c r="F155" s="442"/>
      <c r="G155" s="442"/>
      <c r="H155" s="270"/>
      <c r="I155" s="274" t="s">
        <v>1662</v>
      </c>
      <c r="J155" s="270"/>
      <c r="K155" s="270"/>
      <c r="L155" s="270"/>
    </row>
    <row r="156" spans="1:12" ht="15.75" customHeight="1">
      <c r="A156" s="270"/>
      <c r="B156" s="270"/>
      <c r="C156" s="273" t="s">
        <v>1665</v>
      </c>
      <c r="D156" s="270"/>
      <c r="E156" s="442"/>
      <c r="F156" s="442"/>
      <c r="G156" s="442"/>
      <c r="H156" s="270"/>
      <c r="I156" s="274" t="s">
        <v>1662</v>
      </c>
      <c r="J156" s="270"/>
      <c r="K156" s="270"/>
      <c r="L156" s="270"/>
    </row>
    <row r="157" spans="1:12" ht="15.75" customHeight="1">
      <c r="A157" s="270"/>
      <c r="B157" s="270"/>
      <c r="C157" s="273"/>
      <c r="D157" s="270"/>
      <c r="E157" s="275"/>
      <c r="F157" s="276"/>
      <c r="G157" s="277"/>
      <c r="H157" s="270"/>
      <c r="I157" s="270"/>
      <c r="J157" s="270"/>
      <c r="K157" s="270"/>
      <c r="L157" s="270"/>
    </row>
    <row r="158" spans="1:12" ht="15.75" customHeight="1">
      <c r="A158" s="278" t="s">
        <v>1666</v>
      </c>
      <c r="B158" s="270"/>
      <c r="C158" s="270"/>
      <c r="D158" s="270"/>
      <c r="E158" s="443">
        <f>SUM(E153:E156)</f>
        <v>0</v>
      </c>
      <c r="F158" s="443"/>
      <c r="G158" s="443"/>
      <c r="H158" s="270"/>
      <c r="I158" s="279" t="s">
        <v>1667</v>
      </c>
      <c r="J158" s="270"/>
      <c r="K158" s="270"/>
      <c r="L158" s="270"/>
    </row>
    <row r="159" spans="1:6" ht="15.75" customHeight="1">
      <c r="A159" s="280"/>
      <c r="F159" s="281"/>
    </row>
    <row r="160" ht="15.75" customHeight="1"/>
    <row r="161" spans="1:12" ht="15.75" customHeight="1">
      <c r="A161" s="259"/>
      <c r="B161" s="260"/>
      <c r="C161" s="261"/>
      <c r="D161" s="260"/>
      <c r="E161" s="262"/>
      <c r="F161" s="260"/>
      <c r="G161" s="263"/>
      <c r="H161" s="260"/>
      <c r="I161" s="263"/>
      <c r="J161" s="260"/>
      <c r="K161" s="264"/>
      <c r="L161" s="264"/>
    </row>
    <row r="162" spans="1:12" ht="15.75" customHeight="1">
      <c r="A162" s="259"/>
      <c r="B162" s="260"/>
      <c r="C162" s="261"/>
      <c r="D162" s="260"/>
      <c r="E162" s="262"/>
      <c r="F162" s="260"/>
      <c r="G162" s="263"/>
      <c r="H162" s="260"/>
      <c r="I162" s="263"/>
      <c r="J162" s="260"/>
      <c r="K162" s="264"/>
      <c r="L162" s="264"/>
    </row>
    <row r="163" spans="1:12" ht="15.75" customHeight="1">
      <c r="A163" s="259"/>
      <c r="B163" s="260"/>
      <c r="C163" s="261"/>
      <c r="D163" s="260"/>
      <c r="E163" s="262"/>
      <c r="F163" s="260"/>
      <c r="G163" s="263"/>
      <c r="H163" s="260"/>
      <c r="I163" s="263"/>
      <c r="J163" s="260"/>
      <c r="K163" s="264"/>
      <c r="L163" s="264"/>
    </row>
    <row r="164" spans="1:12" ht="15.75" customHeight="1">
      <c r="A164" s="259"/>
      <c r="B164" s="260"/>
      <c r="C164" s="261"/>
      <c r="D164" s="260"/>
      <c r="E164" s="262"/>
      <c r="F164" s="260"/>
      <c r="G164" s="263"/>
      <c r="H164" s="260"/>
      <c r="I164" s="263"/>
      <c r="J164" s="260"/>
      <c r="K164" s="264"/>
      <c r="L164" s="264"/>
    </row>
    <row r="165" spans="1:12" ht="15.75" customHeight="1">
      <c r="A165" s="259"/>
      <c r="B165" s="260"/>
      <c r="C165" s="261"/>
      <c r="D165" s="260"/>
      <c r="E165" s="262"/>
      <c r="F165" s="260"/>
      <c r="G165" s="263"/>
      <c r="H165" s="260"/>
      <c r="I165" s="263"/>
      <c r="J165" s="260"/>
      <c r="K165" s="264"/>
      <c r="L165" s="264"/>
    </row>
    <row r="166" spans="1:12" ht="15.75" customHeight="1">
      <c r="A166" s="259"/>
      <c r="B166" s="260"/>
      <c r="C166" s="261"/>
      <c r="D166" s="260"/>
      <c r="E166" s="262"/>
      <c r="F166" s="260"/>
      <c r="G166" s="263"/>
      <c r="H166" s="260"/>
      <c r="I166" s="263"/>
      <c r="J166" s="260"/>
      <c r="K166" s="264"/>
      <c r="L166" s="264"/>
    </row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</sheetData>
  <sheetProtection algorithmName="SHA-512" hashValue="4kTjgKjjyU0Gp5VgN/cA8QrasMsnhAO6UHnVsAf5mS8G1k6ESco220o+g9+WIp2qtFBW00AJqPOsnI6QyrWAXQ==" saltValue="AeKYyNj4tlnkvydIigv+HQ==" spinCount="100000" sheet="1" objects="1" scenarios="1"/>
  <mergeCells count="9">
    <mergeCell ref="E155:G155"/>
    <mergeCell ref="E156:G156"/>
    <mergeCell ref="E158:G158"/>
    <mergeCell ref="A2:L2"/>
    <mergeCell ref="A4:L4"/>
    <mergeCell ref="A5:L5"/>
    <mergeCell ref="A6:L6"/>
    <mergeCell ref="E153:G153"/>
    <mergeCell ref="E154:G154"/>
  </mergeCells>
  <conditionalFormatting sqref="E157:E158 F157 C153:C157 I153:I156 I149">
    <cfRule type="cellIs" priority="3" dxfId="0" operator="equal" stopIfTrue="1">
      <formula>0</formula>
    </cfRule>
  </conditionalFormatting>
  <conditionalFormatting sqref="C151">
    <cfRule type="expression" priority="4" dxfId="1" stopIfTrue="1">
      <formula>$C151 = 0</formula>
    </cfRule>
    <cfRule type="cellIs" priority="5" dxfId="0" operator="equal" stopIfTrue="1">
      <formula>0</formula>
    </cfRule>
  </conditionalFormatting>
  <conditionalFormatting sqref="I30:I31">
    <cfRule type="cellIs" priority="2" dxfId="0" operator="equal" stopIfTrue="1">
      <formula>0</formula>
    </cfRule>
  </conditionalFormatting>
  <conditionalFormatting sqref="I86:I88">
    <cfRule type="cellIs" priority="1" dxfId="0" operator="equal" stopIfTrue="1">
      <formula>0</formula>
    </cfRule>
  </conditionalFormatting>
  <printOptions/>
  <pageMargins left="0.196850393700787" right="0.196850393700787" top="0.393700787401575" bottom="0.590551181102362" header="0.511811023622047" footer="0.511811023622047"/>
  <pageSetup fitToHeight="99" fitToWidth="1" horizontalDpi="300" verticalDpi="300" orientation="portrait" paperSize="9" scale="9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zoomScale="130" zoomScaleNormal="130" workbookViewId="0" topLeftCell="A1">
      <selection activeCell="N30" sqref="N30"/>
    </sheetView>
  </sheetViews>
  <sheetFormatPr defaultColWidth="11.57421875" defaultRowHeight="15"/>
  <cols>
    <col min="1" max="1" width="6.28125" style="244" customWidth="1"/>
    <col min="2" max="2" width="1.1484375" style="244" customWidth="1"/>
    <col min="3" max="3" width="50.421875" style="244" customWidth="1"/>
    <col min="4" max="4" width="0.71875" style="244" customWidth="1"/>
    <col min="5" max="5" width="5.421875" style="244" customWidth="1"/>
    <col min="6" max="6" width="0.71875" style="244" customWidth="1"/>
    <col min="7" max="7" width="10.421875" style="244" customWidth="1"/>
    <col min="8" max="8" width="0.71875" style="244" customWidth="1"/>
    <col min="9" max="9" width="9.421875" style="244" customWidth="1"/>
    <col min="10" max="10" width="2.421875" style="244" customWidth="1"/>
    <col min="11" max="11" width="5.28125" style="244" customWidth="1"/>
    <col min="12" max="12" width="7.7109375" style="244" customWidth="1"/>
    <col min="13" max="256" width="8.7109375" style="244" customWidth="1"/>
    <col min="257" max="257" width="6.28125" style="244" customWidth="1"/>
    <col min="258" max="258" width="1.1484375" style="244" customWidth="1"/>
    <col min="259" max="259" width="50.421875" style="244" customWidth="1"/>
    <col min="260" max="260" width="0.71875" style="244" customWidth="1"/>
    <col min="261" max="261" width="5.421875" style="244" customWidth="1"/>
    <col min="262" max="262" width="0.71875" style="244" customWidth="1"/>
    <col min="263" max="263" width="10.421875" style="244" customWidth="1"/>
    <col min="264" max="264" width="0.71875" style="244" customWidth="1"/>
    <col min="265" max="265" width="9.421875" style="244" customWidth="1"/>
    <col min="266" max="266" width="2.421875" style="244" customWidth="1"/>
    <col min="267" max="267" width="5.28125" style="244" customWidth="1"/>
    <col min="268" max="268" width="7.7109375" style="244" customWidth="1"/>
    <col min="269" max="512" width="8.7109375" style="244" customWidth="1"/>
    <col min="513" max="513" width="6.28125" style="244" customWidth="1"/>
    <col min="514" max="514" width="1.1484375" style="244" customWidth="1"/>
    <col min="515" max="515" width="50.421875" style="244" customWidth="1"/>
    <col min="516" max="516" width="0.71875" style="244" customWidth="1"/>
    <col min="517" max="517" width="5.421875" style="244" customWidth="1"/>
    <col min="518" max="518" width="0.71875" style="244" customWidth="1"/>
    <col min="519" max="519" width="10.421875" style="244" customWidth="1"/>
    <col min="520" max="520" width="0.71875" style="244" customWidth="1"/>
    <col min="521" max="521" width="9.421875" style="244" customWidth="1"/>
    <col min="522" max="522" width="2.421875" style="244" customWidth="1"/>
    <col min="523" max="523" width="5.28125" style="244" customWidth="1"/>
    <col min="524" max="524" width="7.7109375" style="244" customWidth="1"/>
    <col min="525" max="768" width="8.7109375" style="244" customWidth="1"/>
    <col min="769" max="769" width="6.28125" style="244" customWidth="1"/>
    <col min="770" max="770" width="1.1484375" style="244" customWidth="1"/>
    <col min="771" max="771" width="50.421875" style="244" customWidth="1"/>
    <col min="772" max="772" width="0.71875" style="244" customWidth="1"/>
    <col min="773" max="773" width="5.421875" style="244" customWidth="1"/>
    <col min="774" max="774" width="0.71875" style="244" customWidth="1"/>
    <col min="775" max="775" width="10.421875" style="244" customWidth="1"/>
    <col min="776" max="776" width="0.71875" style="244" customWidth="1"/>
    <col min="777" max="777" width="9.421875" style="244" customWidth="1"/>
    <col min="778" max="778" width="2.421875" style="244" customWidth="1"/>
    <col min="779" max="779" width="5.28125" style="244" customWidth="1"/>
    <col min="780" max="780" width="7.7109375" style="244" customWidth="1"/>
    <col min="781" max="1024" width="8.7109375" style="244" customWidth="1"/>
    <col min="1025" max="1025" width="6.28125" style="244" customWidth="1"/>
    <col min="1026" max="1026" width="1.1484375" style="244" customWidth="1"/>
    <col min="1027" max="1027" width="50.421875" style="244" customWidth="1"/>
    <col min="1028" max="1028" width="0.71875" style="244" customWidth="1"/>
    <col min="1029" max="1029" width="5.421875" style="244" customWidth="1"/>
    <col min="1030" max="1030" width="0.71875" style="244" customWidth="1"/>
    <col min="1031" max="1031" width="10.421875" style="244" customWidth="1"/>
    <col min="1032" max="1032" width="0.71875" style="244" customWidth="1"/>
    <col min="1033" max="1033" width="9.421875" style="244" customWidth="1"/>
    <col min="1034" max="1034" width="2.421875" style="244" customWidth="1"/>
    <col min="1035" max="1035" width="5.28125" style="244" customWidth="1"/>
    <col min="1036" max="1036" width="7.7109375" style="244" customWidth="1"/>
    <col min="1037" max="1280" width="8.7109375" style="244" customWidth="1"/>
    <col min="1281" max="1281" width="6.28125" style="244" customWidth="1"/>
    <col min="1282" max="1282" width="1.1484375" style="244" customWidth="1"/>
    <col min="1283" max="1283" width="50.421875" style="244" customWidth="1"/>
    <col min="1284" max="1284" width="0.71875" style="244" customWidth="1"/>
    <col min="1285" max="1285" width="5.421875" style="244" customWidth="1"/>
    <col min="1286" max="1286" width="0.71875" style="244" customWidth="1"/>
    <col min="1287" max="1287" width="10.421875" style="244" customWidth="1"/>
    <col min="1288" max="1288" width="0.71875" style="244" customWidth="1"/>
    <col min="1289" max="1289" width="9.421875" style="244" customWidth="1"/>
    <col min="1290" max="1290" width="2.421875" style="244" customWidth="1"/>
    <col min="1291" max="1291" width="5.28125" style="244" customWidth="1"/>
    <col min="1292" max="1292" width="7.7109375" style="244" customWidth="1"/>
    <col min="1293" max="1536" width="8.7109375" style="244" customWidth="1"/>
    <col min="1537" max="1537" width="6.28125" style="244" customWidth="1"/>
    <col min="1538" max="1538" width="1.1484375" style="244" customWidth="1"/>
    <col min="1539" max="1539" width="50.421875" style="244" customWidth="1"/>
    <col min="1540" max="1540" width="0.71875" style="244" customWidth="1"/>
    <col min="1541" max="1541" width="5.421875" style="244" customWidth="1"/>
    <col min="1542" max="1542" width="0.71875" style="244" customWidth="1"/>
    <col min="1543" max="1543" width="10.421875" style="244" customWidth="1"/>
    <col min="1544" max="1544" width="0.71875" style="244" customWidth="1"/>
    <col min="1545" max="1545" width="9.421875" style="244" customWidth="1"/>
    <col min="1546" max="1546" width="2.421875" style="244" customWidth="1"/>
    <col min="1547" max="1547" width="5.28125" style="244" customWidth="1"/>
    <col min="1548" max="1548" width="7.7109375" style="244" customWidth="1"/>
    <col min="1549" max="1792" width="8.7109375" style="244" customWidth="1"/>
    <col min="1793" max="1793" width="6.28125" style="244" customWidth="1"/>
    <col min="1794" max="1794" width="1.1484375" style="244" customWidth="1"/>
    <col min="1795" max="1795" width="50.421875" style="244" customWidth="1"/>
    <col min="1796" max="1796" width="0.71875" style="244" customWidth="1"/>
    <col min="1797" max="1797" width="5.421875" style="244" customWidth="1"/>
    <col min="1798" max="1798" width="0.71875" style="244" customWidth="1"/>
    <col min="1799" max="1799" width="10.421875" style="244" customWidth="1"/>
    <col min="1800" max="1800" width="0.71875" style="244" customWidth="1"/>
    <col min="1801" max="1801" width="9.421875" style="244" customWidth="1"/>
    <col min="1802" max="1802" width="2.421875" style="244" customWidth="1"/>
    <col min="1803" max="1803" width="5.28125" style="244" customWidth="1"/>
    <col min="1804" max="1804" width="7.7109375" style="244" customWidth="1"/>
    <col min="1805" max="2048" width="8.7109375" style="244" customWidth="1"/>
    <col min="2049" max="2049" width="6.28125" style="244" customWidth="1"/>
    <col min="2050" max="2050" width="1.1484375" style="244" customWidth="1"/>
    <col min="2051" max="2051" width="50.421875" style="244" customWidth="1"/>
    <col min="2052" max="2052" width="0.71875" style="244" customWidth="1"/>
    <col min="2053" max="2053" width="5.421875" style="244" customWidth="1"/>
    <col min="2054" max="2054" width="0.71875" style="244" customWidth="1"/>
    <col min="2055" max="2055" width="10.421875" style="244" customWidth="1"/>
    <col min="2056" max="2056" width="0.71875" style="244" customWidth="1"/>
    <col min="2057" max="2057" width="9.421875" style="244" customWidth="1"/>
    <col min="2058" max="2058" width="2.421875" style="244" customWidth="1"/>
    <col min="2059" max="2059" width="5.28125" style="244" customWidth="1"/>
    <col min="2060" max="2060" width="7.7109375" style="244" customWidth="1"/>
    <col min="2061" max="2304" width="8.7109375" style="244" customWidth="1"/>
    <col min="2305" max="2305" width="6.28125" style="244" customWidth="1"/>
    <col min="2306" max="2306" width="1.1484375" style="244" customWidth="1"/>
    <col min="2307" max="2307" width="50.421875" style="244" customWidth="1"/>
    <col min="2308" max="2308" width="0.71875" style="244" customWidth="1"/>
    <col min="2309" max="2309" width="5.421875" style="244" customWidth="1"/>
    <col min="2310" max="2310" width="0.71875" style="244" customWidth="1"/>
    <col min="2311" max="2311" width="10.421875" style="244" customWidth="1"/>
    <col min="2312" max="2312" width="0.71875" style="244" customWidth="1"/>
    <col min="2313" max="2313" width="9.421875" style="244" customWidth="1"/>
    <col min="2314" max="2314" width="2.421875" style="244" customWidth="1"/>
    <col min="2315" max="2315" width="5.28125" style="244" customWidth="1"/>
    <col min="2316" max="2316" width="7.7109375" style="244" customWidth="1"/>
    <col min="2317" max="2560" width="8.7109375" style="244" customWidth="1"/>
    <col min="2561" max="2561" width="6.28125" style="244" customWidth="1"/>
    <col min="2562" max="2562" width="1.1484375" style="244" customWidth="1"/>
    <col min="2563" max="2563" width="50.421875" style="244" customWidth="1"/>
    <col min="2564" max="2564" width="0.71875" style="244" customWidth="1"/>
    <col min="2565" max="2565" width="5.421875" style="244" customWidth="1"/>
    <col min="2566" max="2566" width="0.71875" style="244" customWidth="1"/>
    <col min="2567" max="2567" width="10.421875" style="244" customWidth="1"/>
    <col min="2568" max="2568" width="0.71875" style="244" customWidth="1"/>
    <col min="2569" max="2569" width="9.421875" style="244" customWidth="1"/>
    <col min="2570" max="2570" width="2.421875" style="244" customWidth="1"/>
    <col min="2571" max="2571" width="5.28125" style="244" customWidth="1"/>
    <col min="2572" max="2572" width="7.7109375" style="244" customWidth="1"/>
    <col min="2573" max="2816" width="8.7109375" style="244" customWidth="1"/>
    <col min="2817" max="2817" width="6.28125" style="244" customWidth="1"/>
    <col min="2818" max="2818" width="1.1484375" style="244" customWidth="1"/>
    <col min="2819" max="2819" width="50.421875" style="244" customWidth="1"/>
    <col min="2820" max="2820" width="0.71875" style="244" customWidth="1"/>
    <col min="2821" max="2821" width="5.421875" style="244" customWidth="1"/>
    <col min="2822" max="2822" width="0.71875" style="244" customWidth="1"/>
    <col min="2823" max="2823" width="10.421875" style="244" customWidth="1"/>
    <col min="2824" max="2824" width="0.71875" style="244" customWidth="1"/>
    <col min="2825" max="2825" width="9.421875" style="244" customWidth="1"/>
    <col min="2826" max="2826" width="2.421875" style="244" customWidth="1"/>
    <col min="2827" max="2827" width="5.28125" style="244" customWidth="1"/>
    <col min="2828" max="2828" width="7.7109375" style="244" customWidth="1"/>
    <col min="2829" max="3072" width="8.7109375" style="244" customWidth="1"/>
    <col min="3073" max="3073" width="6.28125" style="244" customWidth="1"/>
    <col min="3074" max="3074" width="1.1484375" style="244" customWidth="1"/>
    <col min="3075" max="3075" width="50.421875" style="244" customWidth="1"/>
    <col min="3076" max="3076" width="0.71875" style="244" customWidth="1"/>
    <col min="3077" max="3077" width="5.421875" style="244" customWidth="1"/>
    <col min="3078" max="3078" width="0.71875" style="244" customWidth="1"/>
    <col min="3079" max="3079" width="10.421875" style="244" customWidth="1"/>
    <col min="3080" max="3080" width="0.71875" style="244" customWidth="1"/>
    <col min="3081" max="3081" width="9.421875" style="244" customWidth="1"/>
    <col min="3082" max="3082" width="2.421875" style="244" customWidth="1"/>
    <col min="3083" max="3083" width="5.28125" style="244" customWidth="1"/>
    <col min="3084" max="3084" width="7.7109375" style="244" customWidth="1"/>
    <col min="3085" max="3328" width="8.7109375" style="244" customWidth="1"/>
    <col min="3329" max="3329" width="6.28125" style="244" customWidth="1"/>
    <col min="3330" max="3330" width="1.1484375" style="244" customWidth="1"/>
    <col min="3331" max="3331" width="50.421875" style="244" customWidth="1"/>
    <col min="3332" max="3332" width="0.71875" style="244" customWidth="1"/>
    <col min="3333" max="3333" width="5.421875" style="244" customWidth="1"/>
    <col min="3334" max="3334" width="0.71875" style="244" customWidth="1"/>
    <col min="3335" max="3335" width="10.421875" style="244" customWidth="1"/>
    <col min="3336" max="3336" width="0.71875" style="244" customWidth="1"/>
    <col min="3337" max="3337" width="9.421875" style="244" customWidth="1"/>
    <col min="3338" max="3338" width="2.421875" style="244" customWidth="1"/>
    <col min="3339" max="3339" width="5.28125" style="244" customWidth="1"/>
    <col min="3340" max="3340" width="7.7109375" style="244" customWidth="1"/>
    <col min="3341" max="3584" width="8.7109375" style="244" customWidth="1"/>
    <col min="3585" max="3585" width="6.28125" style="244" customWidth="1"/>
    <col min="3586" max="3586" width="1.1484375" style="244" customWidth="1"/>
    <col min="3587" max="3587" width="50.421875" style="244" customWidth="1"/>
    <col min="3588" max="3588" width="0.71875" style="244" customWidth="1"/>
    <col min="3589" max="3589" width="5.421875" style="244" customWidth="1"/>
    <col min="3590" max="3590" width="0.71875" style="244" customWidth="1"/>
    <col min="3591" max="3591" width="10.421875" style="244" customWidth="1"/>
    <col min="3592" max="3592" width="0.71875" style="244" customWidth="1"/>
    <col min="3593" max="3593" width="9.421875" style="244" customWidth="1"/>
    <col min="3594" max="3594" width="2.421875" style="244" customWidth="1"/>
    <col min="3595" max="3595" width="5.28125" style="244" customWidth="1"/>
    <col min="3596" max="3596" width="7.7109375" style="244" customWidth="1"/>
    <col min="3597" max="3840" width="8.7109375" style="244" customWidth="1"/>
    <col min="3841" max="3841" width="6.28125" style="244" customWidth="1"/>
    <col min="3842" max="3842" width="1.1484375" style="244" customWidth="1"/>
    <col min="3843" max="3843" width="50.421875" style="244" customWidth="1"/>
    <col min="3844" max="3844" width="0.71875" style="244" customWidth="1"/>
    <col min="3845" max="3845" width="5.421875" style="244" customWidth="1"/>
    <col min="3846" max="3846" width="0.71875" style="244" customWidth="1"/>
    <col min="3847" max="3847" width="10.421875" style="244" customWidth="1"/>
    <col min="3848" max="3848" width="0.71875" style="244" customWidth="1"/>
    <col min="3849" max="3849" width="9.421875" style="244" customWidth="1"/>
    <col min="3850" max="3850" width="2.421875" style="244" customWidth="1"/>
    <col min="3851" max="3851" width="5.28125" style="244" customWidth="1"/>
    <col min="3852" max="3852" width="7.7109375" style="244" customWidth="1"/>
    <col min="3853" max="4096" width="8.7109375" style="244" customWidth="1"/>
    <col min="4097" max="4097" width="6.28125" style="244" customWidth="1"/>
    <col min="4098" max="4098" width="1.1484375" style="244" customWidth="1"/>
    <col min="4099" max="4099" width="50.421875" style="244" customWidth="1"/>
    <col min="4100" max="4100" width="0.71875" style="244" customWidth="1"/>
    <col min="4101" max="4101" width="5.421875" style="244" customWidth="1"/>
    <col min="4102" max="4102" width="0.71875" style="244" customWidth="1"/>
    <col min="4103" max="4103" width="10.421875" style="244" customWidth="1"/>
    <col min="4104" max="4104" width="0.71875" style="244" customWidth="1"/>
    <col min="4105" max="4105" width="9.421875" style="244" customWidth="1"/>
    <col min="4106" max="4106" width="2.421875" style="244" customWidth="1"/>
    <col min="4107" max="4107" width="5.28125" style="244" customWidth="1"/>
    <col min="4108" max="4108" width="7.7109375" style="244" customWidth="1"/>
    <col min="4109" max="4352" width="8.7109375" style="244" customWidth="1"/>
    <col min="4353" max="4353" width="6.28125" style="244" customWidth="1"/>
    <col min="4354" max="4354" width="1.1484375" style="244" customWidth="1"/>
    <col min="4355" max="4355" width="50.421875" style="244" customWidth="1"/>
    <col min="4356" max="4356" width="0.71875" style="244" customWidth="1"/>
    <col min="4357" max="4357" width="5.421875" style="244" customWidth="1"/>
    <col min="4358" max="4358" width="0.71875" style="244" customWidth="1"/>
    <col min="4359" max="4359" width="10.421875" style="244" customWidth="1"/>
    <col min="4360" max="4360" width="0.71875" style="244" customWidth="1"/>
    <col min="4361" max="4361" width="9.421875" style="244" customWidth="1"/>
    <col min="4362" max="4362" width="2.421875" style="244" customWidth="1"/>
    <col min="4363" max="4363" width="5.28125" style="244" customWidth="1"/>
    <col min="4364" max="4364" width="7.7109375" style="244" customWidth="1"/>
    <col min="4365" max="4608" width="8.7109375" style="244" customWidth="1"/>
    <col min="4609" max="4609" width="6.28125" style="244" customWidth="1"/>
    <col min="4610" max="4610" width="1.1484375" style="244" customWidth="1"/>
    <col min="4611" max="4611" width="50.421875" style="244" customWidth="1"/>
    <col min="4612" max="4612" width="0.71875" style="244" customWidth="1"/>
    <col min="4613" max="4613" width="5.421875" style="244" customWidth="1"/>
    <col min="4614" max="4614" width="0.71875" style="244" customWidth="1"/>
    <col min="4615" max="4615" width="10.421875" style="244" customWidth="1"/>
    <col min="4616" max="4616" width="0.71875" style="244" customWidth="1"/>
    <col min="4617" max="4617" width="9.421875" style="244" customWidth="1"/>
    <col min="4618" max="4618" width="2.421875" style="244" customWidth="1"/>
    <col min="4619" max="4619" width="5.28125" style="244" customWidth="1"/>
    <col min="4620" max="4620" width="7.7109375" style="244" customWidth="1"/>
    <col min="4621" max="4864" width="8.7109375" style="244" customWidth="1"/>
    <col min="4865" max="4865" width="6.28125" style="244" customWidth="1"/>
    <col min="4866" max="4866" width="1.1484375" style="244" customWidth="1"/>
    <col min="4867" max="4867" width="50.421875" style="244" customWidth="1"/>
    <col min="4868" max="4868" width="0.71875" style="244" customWidth="1"/>
    <col min="4869" max="4869" width="5.421875" style="244" customWidth="1"/>
    <col min="4870" max="4870" width="0.71875" style="244" customWidth="1"/>
    <col min="4871" max="4871" width="10.421875" style="244" customWidth="1"/>
    <col min="4872" max="4872" width="0.71875" style="244" customWidth="1"/>
    <col min="4873" max="4873" width="9.421875" style="244" customWidth="1"/>
    <col min="4874" max="4874" width="2.421875" style="244" customWidth="1"/>
    <col min="4875" max="4875" width="5.28125" style="244" customWidth="1"/>
    <col min="4876" max="4876" width="7.7109375" style="244" customWidth="1"/>
    <col min="4877" max="5120" width="8.7109375" style="244" customWidth="1"/>
    <col min="5121" max="5121" width="6.28125" style="244" customWidth="1"/>
    <col min="5122" max="5122" width="1.1484375" style="244" customWidth="1"/>
    <col min="5123" max="5123" width="50.421875" style="244" customWidth="1"/>
    <col min="5124" max="5124" width="0.71875" style="244" customWidth="1"/>
    <col min="5125" max="5125" width="5.421875" style="244" customWidth="1"/>
    <col min="5126" max="5126" width="0.71875" style="244" customWidth="1"/>
    <col min="5127" max="5127" width="10.421875" style="244" customWidth="1"/>
    <col min="5128" max="5128" width="0.71875" style="244" customWidth="1"/>
    <col min="5129" max="5129" width="9.421875" style="244" customWidth="1"/>
    <col min="5130" max="5130" width="2.421875" style="244" customWidth="1"/>
    <col min="5131" max="5131" width="5.28125" style="244" customWidth="1"/>
    <col min="5132" max="5132" width="7.7109375" style="244" customWidth="1"/>
    <col min="5133" max="5376" width="8.7109375" style="244" customWidth="1"/>
    <col min="5377" max="5377" width="6.28125" style="244" customWidth="1"/>
    <col min="5378" max="5378" width="1.1484375" style="244" customWidth="1"/>
    <col min="5379" max="5379" width="50.421875" style="244" customWidth="1"/>
    <col min="5380" max="5380" width="0.71875" style="244" customWidth="1"/>
    <col min="5381" max="5381" width="5.421875" style="244" customWidth="1"/>
    <col min="5382" max="5382" width="0.71875" style="244" customWidth="1"/>
    <col min="5383" max="5383" width="10.421875" style="244" customWidth="1"/>
    <col min="5384" max="5384" width="0.71875" style="244" customWidth="1"/>
    <col min="5385" max="5385" width="9.421875" style="244" customWidth="1"/>
    <col min="5386" max="5386" width="2.421875" style="244" customWidth="1"/>
    <col min="5387" max="5387" width="5.28125" style="244" customWidth="1"/>
    <col min="5388" max="5388" width="7.7109375" style="244" customWidth="1"/>
    <col min="5389" max="5632" width="8.7109375" style="244" customWidth="1"/>
    <col min="5633" max="5633" width="6.28125" style="244" customWidth="1"/>
    <col min="5634" max="5634" width="1.1484375" style="244" customWidth="1"/>
    <col min="5635" max="5635" width="50.421875" style="244" customWidth="1"/>
    <col min="5636" max="5636" width="0.71875" style="244" customWidth="1"/>
    <col min="5637" max="5637" width="5.421875" style="244" customWidth="1"/>
    <col min="5638" max="5638" width="0.71875" style="244" customWidth="1"/>
    <col min="5639" max="5639" width="10.421875" style="244" customWidth="1"/>
    <col min="5640" max="5640" width="0.71875" style="244" customWidth="1"/>
    <col min="5641" max="5641" width="9.421875" style="244" customWidth="1"/>
    <col min="5642" max="5642" width="2.421875" style="244" customWidth="1"/>
    <col min="5643" max="5643" width="5.28125" style="244" customWidth="1"/>
    <col min="5644" max="5644" width="7.7109375" style="244" customWidth="1"/>
    <col min="5645" max="5888" width="8.7109375" style="244" customWidth="1"/>
    <col min="5889" max="5889" width="6.28125" style="244" customWidth="1"/>
    <col min="5890" max="5890" width="1.1484375" style="244" customWidth="1"/>
    <col min="5891" max="5891" width="50.421875" style="244" customWidth="1"/>
    <col min="5892" max="5892" width="0.71875" style="244" customWidth="1"/>
    <col min="5893" max="5893" width="5.421875" style="244" customWidth="1"/>
    <col min="5894" max="5894" width="0.71875" style="244" customWidth="1"/>
    <col min="5895" max="5895" width="10.421875" style="244" customWidth="1"/>
    <col min="5896" max="5896" width="0.71875" style="244" customWidth="1"/>
    <col min="5897" max="5897" width="9.421875" style="244" customWidth="1"/>
    <col min="5898" max="5898" width="2.421875" style="244" customWidth="1"/>
    <col min="5899" max="5899" width="5.28125" style="244" customWidth="1"/>
    <col min="5900" max="5900" width="7.7109375" style="244" customWidth="1"/>
    <col min="5901" max="6144" width="8.7109375" style="244" customWidth="1"/>
    <col min="6145" max="6145" width="6.28125" style="244" customWidth="1"/>
    <col min="6146" max="6146" width="1.1484375" style="244" customWidth="1"/>
    <col min="6147" max="6147" width="50.421875" style="244" customWidth="1"/>
    <col min="6148" max="6148" width="0.71875" style="244" customWidth="1"/>
    <col min="6149" max="6149" width="5.421875" style="244" customWidth="1"/>
    <col min="6150" max="6150" width="0.71875" style="244" customWidth="1"/>
    <col min="6151" max="6151" width="10.421875" style="244" customWidth="1"/>
    <col min="6152" max="6152" width="0.71875" style="244" customWidth="1"/>
    <col min="6153" max="6153" width="9.421875" style="244" customWidth="1"/>
    <col min="6154" max="6154" width="2.421875" style="244" customWidth="1"/>
    <col min="6155" max="6155" width="5.28125" style="244" customWidth="1"/>
    <col min="6156" max="6156" width="7.7109375" style="244" customWidth="1"/>
    <col min="6157" max="6400" width="8.7109375" style="244" customWidth="1"/>
    <col min="6401" max="6401" width="6.28125" style="244" customWidth="1"/>
    <col min="6402" max="6402" width="1.1484375" style="244" customWidth="1"/>
    <col min="6403" max="6403" width="50.421875" style="244" customWidth="1"/>
    <col min="6404" max="6404" width="0.71875" style="244" customWidth="1"/>
    <col min="6405" max="6405" width="5.421875" style="244" customWidth="1"/>
    <col min="6406" max="6406" width="0.71875" style="244" customWidth="1"/>
    <col min="6407" max="6407" width="10.421875" style="244" customWidth="1"/>
    <col min="6408" max="6408" width="0.71875" style="244" customWidth="1"/>
    <col min="6409" max="6409" width="9.421875" style="244" customWidth="1"/>
    <col min="6410" max="6410" width="2.421875" style="244" customWidth="1"/>
    <col min="6411" max="6411" width="5.28125" style="244" customWidth="1"/>
    <col min="6412" max="6412" width="7.7109375" style="244" customWidth="1"/>
    <col min="6413" max="6656" width="8.7109375" style="244" customWidth="1"/>
    <col min="6657" max="6657" width="6.28125" style="244" customWidth="1"/>
    <col min="6658" max="6658" width="1.1484375" style="244" customWidth="1"/>
    <col min="6659" max="6659" width="50.421875" style="244" customWidth="1"/>
    <col min="6660" max="6660" width="0.71875" style="244" customWidth="1"/>
    <col min="6661" max="6661" width="5.421875" style="244" customWidth="1"/>
    <col min="6662" max="6662" width="0.71875" style="244" customWidth="1"/>
    <col min="6663" max="6663" width="10.421875" style="244" customWidth="1"/>
    <col min="6664" max="6664" width="0.71875" style="244" customWidth="1"/>
    <col min="6665" max="6665" width="9.421875" style="244" customWidth="1"/>
    <col min="6666" max="6666" width="2.421875" style="244" customWidth="1"/>
    <col min="6667" max="6667" width="5.28125" style="244" customWidth="1"/>
    <col min="6668" max="6668" width="7.7109375" style="244" customWidth="1"/>
    <col min="6669" max="6912" width="8.7109375" style="244" customWidth="1"/>
    <col min="6913" max="6913" width="6.28125" style="244" customWidth="1"/>
    <col min="6914" max="6914" width="1.1484375" style="244" customWidth="1"/>
    <col min="6915" max="6915" width="50.421875" style="244" customWidth="1"/>
    <col min="6916" max="6916" width="0.71875" style="244" customWidth="1"/>
    <col min="6917" max="6917" width="5.421875" style="244" customWidth="1"/>
    <col min="6918" max="6918" width="0.71875" style="244" customWidth="1"/>
    <col min="6919" max="6919" width="10.421875" style="244" customWidth="1"/>
    <col min="6920" max="6920" width="0.71875" style="244" customWidth="1"/>
    <col min="6921" max="6921" width="9.421875" style="244" customWidth="1"/>
    <col min="6922" max="6922" width="2.421875" style="244" customWidth="1"/>
    <col min="6923" max="6923" width="5.28125" style="244" customWidth="1"/>
    <col min="6924" max="6924" width="7.7109375" style="244" customWidth="1"/>
    <col min="6925" max="7168" width="8.7109375" style="244" customWidth="1"/>
    <col min="7169" max="7169" width="6.28125" style="244" customWidth="1"/>
    <col min="7170" max="7170" width="1.1484375" style="244" customWidth="1"/>
    <col min="7171" max="7171" width="50.421875" style="244" customWidth="1"/>
    <col min="7172" max="7172" width="0.71875" style="244" customWidth="1"/>
    <col min="7173" max="7173" width="5.421875" style="244" customWidth="1"/>
    <col min="7174" max="7174" width="0.71875" style="244" customWidth="1"/>
    <col min="7175" max="7175" width="10.421875" style="244" customWidth="1"/>
    <col min="7176" max="7176" width="0.71875" style="244" customWidth="1"/>
    <col min="7177" max="7177" width="9.421875" style="244" customWidth="1"/>
    <col min="7178" max="7178" width="2.421875" style="244" customWidth="1"/>
    <col min="7179" max="7179" width="5.28125" style="244" customWidth="1"/>
    <col min="7180" max="7180" width="7.7109375" style="244" customWidth="1"/>
    <col min="7181" max="7424" width="8.7109375" style="244" customWidth="1"/>
    <col min="7425" max="7425" width="6.28125" style="244" customWidth="1"/>
    <col min="7426" max="7426" width="1.1484375" style="244" customWidth="1"/>
    <col min="7427" max="7427" width="50.421875" style="244" customWidth="1"/>
    <col min="7428" max="7428" width="0.71875" style="244" customWidth="1"/>
    <col min="7429" max="7429" width="5.421875" style="244" customWidth="1"/>
    <col min="7430" max="7430" width="0.71875" style="244" customWidth="1"/>
    <col min="7431" max="7431" width="10.421875" style="244" customWidth="1"/>
    <col min="7432" max="7432" width="0.71875" style="244" customWidth="1"/>
    <col min="7433" max="7433" width="9.421875" style="244" customWidth="1"/>
    <col min="7434" max="7434" width="2.421875" style="244" customWidth="1"/>
    <col min="7435" max="7435" width="5.28125" style="244" customWidth="1"/>
    <col min="7436" max="7436" width="7.7109375" style="244" customWidth="1"/>
    <col min="7437" max="7680" width="8.7109375" style="244" customWidth="1"/>
    <col min="7681" max="7681" width="6.28125" style="244" customWidth="1"/>
    <col min="7682" max="7682" width="1.1484375" style="244" customWidth="1"/>
    <col min="7683" max="7683" width="50.421875" style="244" customWidth="1"/>
    <col min="7684" max="7684" width="0.71875" style="244" customWidth="1"/>
    <col min="7685" max="7685" width="5.421875" style="244" customWidth="1"/>
    <col min="7686" max="7686" width="0.71875" style="244" customWidth="1"/>
    <col min="7687" max="7687" width="10.421875" style="244" customWidth="1"/>
    <col min="7688" max="7688" width="0.71875" style="244" customWidth="1"/>
    <col min="7689" max="7689" width="9.421875" style="244" customWidth="1"/>
    <col min="7690" max="7690" width="2.421875" style="244" customWidth="1"/>
    <col min="7691" max="7691" width="5.28125" style="244" customWidth="1"/>
    <col min="7692" max="7692" width="7.7109375" style="244" customWidth="1"/>
    <col min="7693" max="7936" width="8.7109375" style="244" customWidth="1"/>
    <col min="7937" max="7937" width="6.28125" style="244" customWidth="1"/>
    <col min="7938" max="7938" width="1.1484375" style="244" customWidth="1"/>
    <col min="7939" max="7939" width="50.421875" style="244" customWidth="1"/>
    <col min="7940" max="7940" width="0.71875" style="244" customWidth="1"/>
    <col min="7941" max="7941" width="5.421875" style="244" customWidth="1"/>
    <col min="7942" max="7942" width="0.71875" style="244" customWidth="1"/>
    <col min="7943" max="7943" width="10.421875" style="244" customWidth="1"/>
    <col min="7944" max="7944" width="0.71875" style="244" customWidth="1"/>
    <col min="7945" max="7945" width="9.421875" style="244" customWidth="1"/>
    <col min="7946" max="7946" width="2.421875" style="244" customWidth="1"/>
    <col min="7947" max="7947" width="5.28125" style="244" customWidth="1"/>
    <col min="7948" max="7948" width="7.7109375" style="244" customWidth="1"/>
    <col min="7949" max="8192" width="8.7109375" style="244" customWidth="1"/>
    <col min="8193" max="8193" width="6.28125" style="244" customWidth="1"/>
    <col min="8194" max="8194" width="1.1484375" style="244" customWidth="1"/>
    <col min="8195" max="8195" width="50.421875" style="244" customWidth="1"/>
    <col min="8196" max="8196" width="0.71875" style="244" customWidth="1"/>
    <col min="8197" max="8197" width="5.421875" style="244" customWidth="1"/>
    <col min="8198" max="8198" width="0.71875" style="244" customWidth="1"/>
    <col min="8199" max="8199" width="10.421875" style="244" customWidth="1"/>
    <col min="8200" max="8200" width="0.71875" style="244" customWidth="1"/>
    <col min="8201" max="8201" width="9.421875" style="244" customWidth="1"/>
    <col min="8202" max="8202" width="2.421875" style="244" customWidth="1"/>
    <col min="8203" max="8203" width="5.28125" style="244" customWidth="1"/>
    <col min="8204" max="8204" width="7.7109375" style="244" customWidth="1"/>
    <col min="8205" max="8448" width="8.7109375" style="244" customWidth="1"/>
    <col min="8449" max="8449" width="6.28125" style="244" customWidth="1"/>
    <col min="8450" max="8450" width="1.1484375" style="244" customWidth="1"/>
    <col min="8451" max="8451" width="50.421875" style="244" customWidth="1"/>
    <col min="8452" max="8452" width="0.71875" style="244" customWidth="1"/>
    <col min="8453" max="8453" width="5.421875" style="244" customWidth="1"/>
    <col min="8454" max="8454" width="0.71875" style="244" customWidth="1"/>
    <col min="8455" max="8455" width="10.421875" style="244" customWidth="1"/>
    <col min="8456" max="8456" width="0.71875" style="244" customWidth="1"/>
    <col min="8457" max="8457" width="9.421875" style="244" customWidth="1"/>
    <col min="8458" max="8458" width="2.421875" style="244" customWidth="1"/>
    <col min="8459" max="8459" width="5.28125" style="244" customWidth="1"/>
    <col min="8460" max="8460" width="7.7109375" style="244" customWidth="1"/>
    <col min="8461" max="8704" width="8.7109375" style="244" customWidth="1"/>
    <col min="8705" max="8705" width="6.28125" style="244" customWidth="1"/>
    <col min="8706" max="8706" width="1.1484375" style="244" customWidth="1"/>
    <col min="8707" max="8707" width="50.421875" style="244" customWidth="1"/>
    <col min="8708" max="8708" width="0.71875" style="244" customWidth="1"/>
    <col min="8709" max="8709" width="5.421875" style="244" customWidth="1"/>
    <col min="8710" max="8710" width="0.71875" style="244" customWidth="1"/>
    <col min="8711" max="8711" width="10.421875" style="244" customWidth="1"/>
    <col min="8712" max="8712" width="0.71875" style="244" customWidth="1"/>
    <col min="8713" max="8713" width="9.421875" style="244" customWidth="1"/>
    <col min="8714" max="8714" width="2.421875" style="244" customWidth="1"/>
    <col min="8715" max="8715" width="5.28125" style="244" customWidth="1"/>
    <col min="8716" max="8716" width="7.7109375" style="244" customWidth="1"/>
    <col min="8717" max="8960" width="8.7109375" style="244" customWidth="1"/>
    <col min="8961" max="8961" width="6.28125" style="244" customWidth="1"/>
    <col min="8962" max="8962" width="1.1484375" style="244" customWidth="1"/>
    <col min="8963" max="8963" width="50.421875" style="244" customWidth="1"/>
    <col min="8964" max="8964" width="0.71875" style="244" customWidth="1"/>
    <col min="8965" max="8965" width="5.421875" style="244" customWidth="1"/>
    <col min="8966" max="8966" width="0.71875" style="244" customWidth="1"/>
    <col min="8967" max="8967" width="10.421875" style="244" customWidth="1"/>
    <col min="8968" max="8968" width="0.71875" style="244" customWidth="1"/>
    <col min="8969" max="8969" width="9.421875" style="244" customWidth="1"/>
    <col min="8970" max="8970" width="2.421875" style="244" customWidth="1"/>
    <col min="8971" max="8971" width="5.28125" style="244" customWidth="1"/>
    <col min="8972" max="8972" width="7.7109375" style="244" customWidth="1"/>
    <col min="8973" max="9216" width="8.7109375" style="244" customWidth="1"/>
    <col min="9217" max="9217" width="6.28125" style="244" customWidth="1"/>
    <col min="9218" max="9218" width="1.1484375" style="244" customWidth="1"/>
    <col min="9219" max="9219" width="50.421875" style="244" customWidth="1"/>
    <col min="9220" max="9220" width="0.71875" style="244" customWidth="1"/>
    <col min="9221" max="9221" width="5.421875" style="244" customWidth="1"/>
    <col min="9222" max="9222" width="0.71875" style="244" customWidth="1"/>
    <col min="9223" max="9223" width="10.421875" style="244" customWidth="1"/>
    <col min="9224" max="9224" width="0.71875" style="244" customWidth="1"/>
    <col min="9225" max="9225" width="9.421875" style="244" customWidth="1"/>
    <col min="9226" max="9226" width="2.421875" style="244" customWidth="1"/>
    <col min="9227" max="9227" width="5.28125" style="244" customWidth="1"/>
    <col min="9228" max="9228" width="7.7109375" style="244" customWidth="1"/>
    <col min="9229" max="9472" width="8.7109375" style="244" customWidth="1"/>
    <col min="9473" max="9473" width="6.28125" style="244" customWidth="1"/>
    <col min="9474" max="9474" width="1.1484375" style="244" customWidth="1"/>
    <col min="9475" max="9475" width="50.421875" style="244" customWidth="1"/>
    <col min="9476" max="9476" width="0.71875" style="244" customWidth="1"/>
    <col min="9477" max="9477" width="5.421875" style="244" customWidth="1"/>
    <col min="9478" max="9478" width="0.71875" style="244" customWidth="1"/>
    <col min="9479" max="9479" width="10.421875" style="244" customWidth="1"/>
    <col min="9480" max="9480" width="0.71875" style="244" customWidth="1"/>
    <col min="9481" max="9481" width="9.421875" style="244" customWidth="1"/>
    <col min="9482" max="9482" width="2.421875" style="244" customWidth="1"/>
    <col min="9483" max="9483" width="5.28125" style="244" customWidth="1"/>
    <col min="9484" max="9484" width="7.7109375" style="244" customWidth="1"/>
    <col min="9485" max="9728" width="8.7109375" style="244" customWidth="1"/>
    <col min="9729" max="9729" width="6.28125" style="244" customWidth="1"/>
    <col min="9730" max="9730" width="1.1484375" style="244" customWidth="1"/>
    <col min="9731" max="9731" width="50.421875" style="244" customWidth="1"/>
    <col min="9732" max="9732" width="0.71875" style="244" customWidth="1"/>
    <col min="9733" max="9733" width="5.421875" style="244" customWidth="1"/>
    <col min="9734" max="9734" width="0.71875" style="244" customWidth="1"/>
    <col min="9735" max="9735" width="10.421875" style="244" customWidth="1"/>
    <col min="9736" max="9736" width="0.71875" style="244" customWidth="1"/>
    <col min="9737" max="9737" width="9.421875" style="244" customWidth="1"/>
    <col min="9738" max="9738" width="2.421875" style="244" customWidth="1"/>
    <col min="9739" max="9739" width="5.28125" style="244" customWidth="1"/>
    <col min="9740" max="9740" width="7.7109375" style="244" customWidth="1"/>
    <col min="9741" max="9984" width="8.7109375" style="244" customWidth="1"/>
    <col min="9985" max="9985" width="6.28125" style="244" customWidth="1"/>
    <col min="9986" max="9986" width="1.1484375" style="244" customWidth="1"/>
    <col min="9987" max="9987" width="50.421875" style="244" customWidth="1"/>
    <col min="9988" max="9988" width="0.71875" style="244" customWidth="1"/>
    <col min="9989" max="9989" width="5.421875" style="244" customWidth="1"/>
    <col min="9990" max="9990" width="0.71875" style="244" customWidth="1"/>
    <col min="9991" max="9991" width="10.421875" style="244" customWidth="1"/>
    <col min="9992" max="9992" width="0.71875" style="244" customWidth="1"/>
    <col min="9993" max="9993" width="9.421875" style="244" customWidth="1"/>
    <col min="9994" max="9994" width="2.421875" style="244" customWidth="1"/>
    <col min="9995" max="9995" width="5.28125" style="244" customWidth="1"/>
    <col min="9996" max="9996" width="7.7109375" style="244" customWidth="1"/>
    <col min="9997" max="10240" width="8.7109375" style="244" customWidth="1"/>
    <col min="10241" max="10241" width="6.28125" style="244" customWidth="1"/>
    <col min="10242" max="10242" width="1.1484375" style="244" customWidth="1"/>
    <col min="10243" max="10243" width="50.421875" style="244" customWidth="1"/>
    <col min="10244" max="10244" width="0.71875" style="244" customWidth="1"/>
    <col min="10245" max="10245" width="5.421875" style="244" customWidth="1"/>
    <col min="10246" max="10246" width="0.71875" style="244" customWidth="1"/>
    <col min="10247" max="10247" width="10.421875" style="244" customWidth="1"/>
    <col min="10248" max="10248" width="0.71875" style="244" customWidth="1"/>
    <col min="10249" max="10249" width="9.421875" style="244" customWidth="1"/>
    <col min="10250" max="10250" width="2.421875" style="244" customWidth="1"/>
    <col min="10251" max="10251" width="5.28125" style="244" customWidth="1"/>
    <col min="10252" max="10252" width="7.7109375" style="244" customWidth="1"/>
    <col min="10253" max="10496" width="8.7109375" style="244" customWidth="1"/>
    <col min="10497" max="10497" width="6.28125" style="244" customWidth="1"/>
    <col min="10498" max="10498" width="1.1484375" style="244" customWidth="1"/>
    <col min="10499" max="10499" width="50.421875" style="244" customWidth="1"/>
    <col min="10500" max="10500" width="0.71875" style="244" customWidth="1"/>
    <col min="10501" max="10501" width="5.421875" style="244" customWidth="1"/>
    <col min="10502" max="10502" width="0.71875" style="244" customWidth="1"/>
    <col min="10503" max="10503" width="10.421875" style="244" customWidth="1"/>
    <col min="10504" max="10504" width="0.71875" style="244" customWidth="1"/>
    <col min="10505" max="10505" width="9.421875" style="244" customWidth="1"/>
    <col min="10506" max="10506" width="2.421875" style="244" customWidth="1"/>
    <col min="10507" max="10507" width="5.28125" style="244" customWidth="1"/>
    <col min="10508" max="10508" width="7.7109375" style="244" customWidth="1"/>
    <col min="10509" max="10752" width="8.7109375" style="244" customWidth="1"/>
    <col min="10753" max="10753" width="6.28125" style="244" customWidth="1"/>
    <col min="10754" max="10754" width="1.1484375" style="244" customWidth="1"/>
    <col min="10755" max="10755" width="50.421875" style="244" customWidth="1"/>
    <col min="10756" max="10756" width="0.71875" style="244" customWidth="1"/>
    <col min="10757" max="10757" width="5.421875" style="244" customWidth="1"/>
    <col min="10758" max="10758" width="0.71875" style="244" customWidth="1"/>
    <col min="10759" max="10759" width="10.421875" style="244" customWidth="1"/>
    <col min="10760" max="10760" width="0.71875" style="244" customWidth="1"/>
    <col min="10761" max="10761" width="9.421875" style="244" customWidth="1"/>
    <col min="10762" max="10762" width="2.421875" style="244" customWidth="1"/>
    <col min="10763" max="10763" width="5.28125" style="244" customWidth="1"/>
    <col min="10764" max="10764" width="7.7109375" style="244" customWidth="1"/>
    <col min="10765" max="11008" width="8.7109375" style="244" customWidth="1"/>
    <col min="11009" max="11009" width="6.28125" style="244" customWidth="1"/>
    <col min="11010" max="11010" width="1.1484375" style="244" customWidth="1"/>
    <col min="11011" max="11011" width="50.421875" style="244" customWidth="1"/>
    <col min="11012" max="11012" width="0.71875" style="244" customWidth="1"/>
    <col min="11013" max="11013" width="5.421875" style="244" customWidth="1"/>
    <col min="11014" max="11014" width="0.71875" style="244" customWidth="1"/>
    <col min="11015" max="11015" width="10.421875" style="244" customWidth="1"/>
    <col min="11016" max="11016" width="0.71875" style="244" customWidth="1"/>
    <col min="11017" max="11017" width="9.421875" style="244" customWidth="1"/>
    <col min="11018" max="11018" width="2.421875" style="244" customWidth="1"/>
    <col min="11019" max="11019" width="5.28125" style="244" customWidth="1"/>
    <col min="11020" max="11020" width="7.7109375" style="244" customWidth="1"/>
    <col min="11021" max="11264" width="8.7109375" style="244" customWidth="1"/>
    <col min="11265" max="11265" width="6.28125" style="244" customWidth="1"/>
    <col min="11266" max="11266" width="1.1484375" style="244" customWidth="1"/>
    <col min="11267" max="11267" width="50.421875" style="244" customWidth="1"/>
    <col min="11268" max="11268" width="0.71875" style="244" customWidth="1"/>
    <col min="11269" max="11269" width="5.421875" style="244" customWidth="1"/>
    <col min="11270" max="11270" width="0.71875" style="244" customWidth="1"/>
    <col min="11271" max="11271" width="10.421875" style="244" customWidth="1"/>
    <col min="11272" max="11272" width="0.71875" style="244" customWidth="1"/>
    <col min="11273" max="11273" width="9.421875" style="244" customWidth="1"/>
    <col min="11274" max="11274" width="2.421875" style="244" customWidth="1"/>
    <col min="11275" max="11275" width="5.28125" style="244" customWidth="1"/>
    <col min="11276" max="11276" width="7.7109375" style="244" customWidth="1"/>
    <col min="11277" max="11520" width="8.7109375" style="244" customWidth="1"/>
    <col min="11521" max="11521" width="6.28125" style="244" customWidth="1"/>
    <col min="11522" max="11522" width="1.1484375" style="244" customWidth="1"/>
    <col min="11523" max="11523" width="50.421875" style="244" customWidth="1"/>
    <col min="11524" max="11524" width="0.71875" style="244" customWidth="1"/>
    <col min="11525" max="11525" width="5.421875" style="244" customWidth="1"/>
    <col min="11526" max="11526" width="0.71875" style="244" customWidth="1"/>
    <col min="11527" max="11527" width="10.421875" style="244" customWidth="1"/>
    <col min="11528" max="11528" width="0.71875" style="244" customWidth="1"/>
    <col min="11529" max="11529" width="9.421875" style="244" customWidth="1"/>
    <col min="11530" max="11530" width="2.421875" style="244" customWidth="1"/>
    <col min="11531" max="11531" width="5.28125" style="244" customWidth="1"/>
    <col min="11532" max="11532" width="7.7109375" style="244" customWidth="1"/>
    <col min="11533" max="11776" width="8.7109375" style="244" customWidth="1"/>
    <col min="11777" max="11777" width="6.28125" style="244" customWidth="1"/>
    <col min="11778" max="11778" width="1.1484375" style="244" customWidth="1"/>
    <col min="11779" max="11779" width="50.421875" style="244" customWidth="1"/>
    <col min="11780" max="11780" width="0.71875" style="244" customWidth="1"/>
    <col min="11781" max="11781" width="5.421875" style="244" customWidth="1"/>
    <col min="11782" max="11782" width="0.71875" style="244" customWidth="1"/>
    <col min="11783" max="11783" width="10.421875" style="244" customWidth="1"/>
    <col min="11784" max="11784" width="0.71875" style="244" customWidth="1"/>
    <col min="11785" max="11785" width="9.421875" style="244" customWidth="1"/>
    <col min="11786" max="11786" width="2.421875" style="244" customWidth="1"/>
    <col min="11787" max="11787" width="5.28125" style="244" customWidth="1"/>
    <col min="11788" max="11788" width="7.7109375" style="244" customWidth="1"/>
    <col min="11789" max="12032" width="8.7109375" style="244" customWidth="1"/>
    <col min="12033" max="12033" width="6.28125" style="244" customWidth="1"/>
    <col min="12034" max="12034" width="1.1484375" style="244" customWidth="1"/>
    <col min="12035" max="12035" width="50.421875" style="244" customWidth="1"/>
    <col min="12036" max="12036" width="0.71875" style="244" customWidth="1"/>
    <col min="12037" max="12037" width="5.421875" style="244" customWidth="1"/>
    <col min="12038" max="12038" width="0.71875" style="244" customWidth="1"/>
    <col min="12039" max="12039" width="10.421875" style="244" customWidth="1"/>
    <col min="12040" max="12040" width="0.71875" style="244" customWidth="1"/>
    <col min="12041" max="12041" width="9.421875" style="244" customWidth="1"/>
    <col min="12042" max="12042" width="2.421875" style="244" customWidth="1"/>
    <col min="12043" max="12043" width="5.28125" style="244" customWidth="1"/>
    <col min="12044" max="12044" width="7.7109375" style="244" customWidth="1"/>
    <col min="12045" max="12288" width="8.7109375" style="244" customWidth="1"/>
    <col min="12289" max="12289" width="6.28125" style="244" customWidth="1"/>
    <col min="12290" max="12290" width="1.1484375" style="244" customWidth="1"/>
    <col min="12291" max="12291" width="50.421875" style="244" customWidth="1"/>
    <col min="12292" max="12292" width="0.71875" style="244" customWidth="1"/>
    <col min="12293" max="12293" width="5.421875" style="244" customWidth="1"/>
    <col min="12294" max="12294" width="0.71875" style="244" customWidth="1"/>
    <col min="12295" max="12295" width="10.421875" style="244" customWidth="1"/>
    <col min="12296" max="12296" width="0.71875" style="244" customWidth="1"/>
    <col min="12297" max="12297" width="9.421875" style="244" customWidth="1"/>
    <col min="12298" max="12298" width="2.421875" style="244" customWidth="1"/>
    <col min="12299" max="12299" width="5.28125" style="244" customWidth="1"/>
    <col min="12300" max="12300" width="7.7109375" style="244" customWidth="1"/>
    <col min="12301" max="12544" width="8.7109375" style="244" customWidth="1"/>
    <col min="12545" max="12545" width="6.28125" style="244" customWidth="1"/>
    <col min="12546" max="12546" width="1.1484375" style="244" customWidth="1"/>
    <col min="12547" max="12547" width="50.421875" style="244" customWidth="1"/>
    <col min="12548" max="12548" width="0.71875" style="244" customWidth="1"/>
    <col min="12549" max="12549" width="5.421875" style="244" customWidth="1"/>
    <col min="12550" max="12550" width="0.71875" style="244" customWidth="1"/>
    <col min="12551" max="12551" width="10.421875" style="244" customWidth="1"/>
    <col min="12552" max="12552" width="0.71875" style="244" customWidth="1"/>
    <col min="12553" max="12553" width="9.421875" style="244" customWidth="1"/>
    <col min="12554" max="12554" width="2.421875" style="244" customWidth="1"/>
    <col min="12555" max="12555" width="5.28125" style="244" customWidth="1"/>
    <col min="12556" max="12556" width="7.7109375" style="244" customWidth="1"/>
    <col min="12557" max="12800" width="8.7109375" style="244" customWidth="1"/>
    <col min="12801" max="12801" width="6.28125" style="244" customWidth="1"/>
    <col min="12802" max="12802" width="1.1484375" style="244" customWidth="1"/>
    <col min="12803" max="12803" width="50.421875" style="244" customWidth="1"/>
    <col min="12804" max="12804" width="0.71875" style="244" customWidth="1"/>
    <col min="12805" max="12805" width="5.421875" style="244" customWidth="1"/>
    <col min="12806" max="12806" width="0.71875" style="244" customWidth="1"/>
    <col min="12807" max="12807" width="10.421875" style="244" customWidth="1"/>
    <col min="12808" max="12808" width="0.71875" style="244" customWidth="1"/>
    <col min="12809" max="12809" width="9.421875" style="244" customWidth="1"/>
    <col min="12810" max="12810" width="2.421875" style="244" customWidth="1"/>
    <col min="12811" max="12811" width="5.28125" style="244" customWidth="1"/>
    <col min="12812" max="12812" width="7.7109375" style="244" customWidth="1"/>
    <col min="12813" max="13056" width="8.7109375" style="244" customWidth="1"/>
    <col min="13057" max="13057" width="6.28125" style="244" customWidth="1"/>
    <col min="13058" max="13058" width="1.1484375" style="244" customWidth="1"/>
    <col min="13059" max="13059" width="50.421875" style="244" customWidth="1"/>
    <col min="13060" max="13060" width="0.71875" style="244" customWidth="1"/>
    <col min="13061" max="13061" width="5.421875" style="244" customWidth="1"/>
    <col min="13062" max="13062" width="0.71875" style="244" customWidth="1"/>
    <col min="13063" max="13063" width="10.421875" style="244" customWidth="1"/>
    <col min="13064" max="13064" width="0.71875" style="244" customWidth="1"/>
    <col min="13065" max="13065" width="9.421875" style="244" customWidth="1"/>
    <col min="13066" max="13066" width="2.421875" style="244" customWidth="1"/>
    <col min="13067" max="13067" width="5.28125" style="244" customWidth="1"/>
    <col min="13068" max="13068" width="7.7109375" style="244" customWidth="1"/>
    <col min="13069" max="13312" width="8.7109375" style="244" customWidth="1"/>
    <col min="13313" max="13313" width="6.28125" style="244" customWidth="1"/>
    <col min="13314" max="13314" width="1.1484375" style="244" customWidth="1"/>
    <col min="13315" max="13315" width="50.421875" style="244" customWidth="1"/>
    <col min="13316" max="13316" width="0.71875" style="244" customWidth="1"/>
    <col min="13317" max="13317" width="5.421875" style="244" customWidth="1"/>
    <col min="13318" max="13318" width="0.71875" style="244" customWidth="1"/>
    <col min="13319" max="13319" width="10.421875" style="244" customWidth="1"/>
    <col min="13320" max="13320" width="0.71875" style="244" customWidth="1"/>
    <col min="13321" max="13321" width="9.421875" style="244" customWidth="1"/>
    <col min="13322" max="13322" width="2.421875" style="244" customWidth="1"/>
    <col min="13323" max="13323" width="5.28125" style="244" customWidth="1"/>
    <col min="13324" max="13324" width="7.7109375" style="244" customWidth="1"/>
    <col min="13325" max="13568" width="8.7109375" style="244" customWidth="1"/>
    <col min="13569" max="13569" width="6.28125" style="244" customWidth="1"/>
    <col min="13570" max="13570" width="1.1484375" style="244" customWidth="1"/>
    <col min="13571" max="13571" width="50.421875" style="244" customWidth="1"/>
    <col min="13572" max="13572" width="0.71875" style="244" customWidth="1"/>
    <col min="13573" max="13573" width="5.421875" style="244" customWidth="1"/>
    <col min="13574" max="13574" width="0.71875" style="244" customWidth="1"/>
    <col min="13575" max="13575" width="10.421875" style="244" customWidth="1"/>
    <col min="13576" max="13576" width="0.71875" style="244" customWidth="1"/>
    <col min="13577" max="13577" width="9.421875" style="244" customWidth="1"/>
    <col min="13578" max="13578" width="2.421875" style="244" customWidth="1"/>
    <col min="13579" max="13579" width="5.28125" style="244" customWidth="1"/>
    <col min="13580" max="13580" width="7.7109375" style="244" customWidth="1"/>
    <col min="13581" max="13824" width="8.7109375" style="244" customWidth="1"/>
    <col min="13825" max="13825" width="6.28125" style="244" customWidth="1"/>
    <col min="13826" max="13826" width="1.1484375" style="244" customWidth="1"/>
    <col min="13827" max="13827" width="50.421875" style="244" customWidth="1"/>
    <col min="13828" max="13828" width="0.71875" style="244" customWidth="1"/>
    <col min="13829" max="13829" width="5.421875" style="244" customWidth="1"/>
    <col min="13830" max="13830" width="0.71875" style="244" customWidth="1"/>
    <col min="13831" max="13831" width="10.421875" style="244" customWidth="1"/>
    <col min="13832" max="13832" width="0.71875" style="244" customWidth="1"/>
    <col min="13833" max="13833" width="9.421875" style="244" customWidth="1"/>
    <col min="13834" max="13834" width="2.421875" style="244" customWidth="1"/>
    <col min="13835" max="13835" width="5.28125" style="244" customWidth="1"/>
    <col min="13836" max="13836" width="7.7109375" style="244" customWidth="1"/>
    <col min="13837" max="14080" width="8.7109375" style="244" customWidth="1"/>
    <col min="14081" max="14081" width="6.28125" style="244" customWidth="1"/>
    <col min="14082" max="14082" width="1.1484375" style="244" customWidth="1"/>
    <col min="14083" max="14083" width="50.421875" style="244" customWidth="1"/>
    <col min="14084" max="14084" width="0.71875" style="244" customWidth="1"/>
    <col min="14085" max="14085" width="5.421875" style="244" customWidth="1"/>
    <col min="14086" max="14086" width="0.71875" style="244" customWidth="1"/>
    <col min="14087" max="14087" width="10.421875" style="244" customWidth="1"/>
    <col min="14088" max="14088" width="0.71875" style="244" customWidth="1"/>
    <col min="14089" max="14089" width="9.421875" style="244" customWidth="1"/>
    <col min="14090" max="14090" width="2.421875" style="244" customWidth="1"/>
    <col min="14091" max="14091" width="5.28125" style="244" customWidth="1"/>
    <col min="14092" max="14092" width="7.7109375" style="244" customWidth="1"/>
    <col min="14093" max="14336" width="8.7109375" style="244" customWidth="1"/>
    <col min="14337" max="14337" width="6.28125" style="244" customWidth="1"/>
    <col min="14338" max="14338" width="1.1484375" style="244" customWidth="1"/>
    <col min="14339" max="14339" width="50.421875" style="244" customWidth="1"/>
    <col min="14340" max="14340" width="0.71875" style="244" customWidth="1"/>
    <col min="14341" max="14341" width="5.421875" style="244" customWidth="1"/>
    <col min="14342" max="14342" width="0.71875" style="244" customWidth="1"/>
    <col min="14343" max="14343" width="10.421875" style="244" customWidth="1"/>
    <col min="14344" max="14344" width="0.71875" style="244" customWidth="1"/>
    <col min="14345" max="14345" width="9.421875" style="244" customWidth="1"/>
    <col min="14346" max="14346" width="2.421875" style="244" customWidth="1"/>
    <col min="14347" max="14347" width="5.28125" style="244" customWidth="1"/>
    <col min="14348" max="14348" width="7.7109375" style="244" customWidth="1"/>
    <col min="14349" max="14592" width="8.7109375" style="244" customWidth="1"/>
    <col min="14593" max="14593" width="6.28125" style="244" customWidth="1"/>
    <col min="14594" max="14594" width="1.1484375" style="244" customWidth="1"/>
    <col min="14595" max="14595" width="50.421875" style="244" customWidth="1"/>
    <col min="14596" max="14596" width="0.71875" style="244" customWidth="1"/>
    <col min="14597" max="14597" width="5.421875" style="244" customWidth="1"/>
    <col min="14598" max="14598" width="0.71875" style="244" customWidth="1"/>
    <col min="14599" max="14599" width="10.421875" style="244" customWidth="1"/>
    <col min="14600" max="14600" width="0.71875" style="244" customWidth="1"/>
    <col min="14601" max="14601" width="9.421875" style="244" customWidth="1"/>
    <col min="14602" max="14602" width="2.421875" style="244" customWidth="1"/>
    <col min="14603" max="14603" width="5.28125" style="244" customWidth="1"/>
    <col min="14604" max="14604" width="7.7109375" style="244" customWidth="1"/>
    <col min="14605" max="14848" width="8.7109375" style="244" customWidth="1"/>
    <col min="14849" max="14849" width="6.28125" style="244" customWidth="1"/>
    <col min="14850" max="14850" width="1.1484375" style="244" customWidth="1"/>
    <col min="14851" max="14851" width="50.421875" style="244" customWidth="1"/>
    <col min="14852" max="14852" width="0.71875" style="244" customWidth="1"/>
    <col min="14853" max="14853" width="5.421875" style="244" customWidth="1"/>
    <col min="14854" max="14854" width="0.71875" style="244" customWidth="1"/>
    <col min="14855" max="14855" width="10.421875" style="244" customWidth="1"/>
    <col min="14856" max="14856" width="0.71875" style="244" customWidth="1"/>
    <col min="14857" max="14857" width="9.421875" style="244" customWidth="1"/>
    <col min="14858" max="14858" width="2.421875" style="244" customWidth="1"/>
    <col min="14859" max="14859" width="5.28125" style="244" customWidth="1"/>
    <col min="14860" max="14860" width="7.7109375" style="244" customWidth="1"/>
    <col min="14861" max="15104" width="8.7109375" style="244" customWidth="1"/>
    <col min="15105" max="15105" width="6.28125" style="244" customWidth="1"/>
    <col min="15106" max="15106" width="1.1484375" style="244" customWidth="1"/>
    <col min="15107" max="15107" width="50.421875" style="244" customWidth="1"/>
    <col min="15108" max="15108" width="0.71875" style="244" customWidth="1"/>
    <col min="15109" max="15109" width="5.421875" style="244" customWidth="1"/>
    <col min="15110" max="15110" width="0.71875" style="244" customWidth="1"/>
    <col min="15111" max="15111" width="10.421875" style="244" customWidth="1"/>
    <col min="15112" max="15112" width="0.71875" style="244" customWidth="1"/>
    <col min="15113" max="15113" width="9.421875" style="244" customWidth="1"/>
    <col min="15114" max="15114" width="2.421875" style="244" customWidth="1"/>
    <col min="15115" max="15115" width="5.28125" style="244" customWidth="1"/>
    <col min="15116" max="15116" width="7.7109375" style="244" customWidth="1"/>
    <col min="15117" max="15360" width="8.7109375" style="244" customWidth="1"/>
    <col min="15361" max="15361" width="6.28125" style="244" customWidth="1"/>
    <col min="15362" max="15362" width="1.1484375" style="244" customWidth="1"/>
    <col min="15363" max="15363" width="50.421875" style="244" customWidth="1"/>
    <col min="15364" max="15364" width="0.71875" style="244" customWidth="1"/>
    <col min="15365" max="15365" width="5.421875" style="244" customWidth="1"/>
    <col min="15366" max="15366" width="0.71875" style="244" customWidth="1"/>
    <col min="15367" max="15367" width="10.421875" style="244" customWidth="1"/>
    <col min="15368" max="15368" width="0.71875" style="244" customWidth="1"/>
    <col min="15369" max="15369" width="9.421875" style="244" customWidth="1"/>
    <col min="15370" max="15370" width="2.421875" style="244" customWidth="1"/>
    <col min="15371" max="15371" width="5.28125" style="244" customWidth="1"/>
    <col min="15372" max="15372" width="7.7109375" style="244" customWidth="1"/>
    <col min="15373" max="15616" width="8.7109375" style="244" customWidth="1"/>
    <col min="15617" max="15617" width="6.28125" style="244" customWidth="1"/>
    <col min="15618" max="15618" width="1.1484375" style="244" customWidth="1"/>
    <col min="15619" max="15619" width="50.421875" style="244" customWidth="1"/>
    <col min="15620" max="15620" width="0.71875" style="244" customWidth="1"/>
    <col min="15621" max="15621" width="5.421875" style="244" customWidth="1"/>
    <col min="15622" max="15622" width="0.71875" style="244" customWidth="1"/>
    <col min="15623" max="15623" width="10.421875" style="244" customWidth="1"/>
    <col min="15624" max="15624" width="0.71875" style="244" customWidth="1"/>
    <col min="15625" max="15625" width="9.421875" style="244" customWidth="1"/>
    <col min="15626" max="15626" width="2.421875" style="244" customWidth="1"/>
    <col min="15627" max="15627" width="5.28125" style="244" customWidth="1"/>
    <col min="15628" max="15628" width="7.7109375" style="244" customWidth="1"/>
    <col min="15629" max="15872" width="8.7109375" style="244" customWidth="1"/>
    <col min="15873" max="15873" width="6.28125" style="244" customWidth="1"/>
    <col min="15874" max="15874" width="1.1484375" style="244" customWidth="1"/>
    <col min="15875" max="15875" width="50.421875" style="244" customWidth="1"/>
    <col min="15876" max="15876" width="0.71875" style="244" customWidth="1"/>
    <col min="15877" max="15877" width="5.421875" style="244" customWidth="1"/>
    <col min="15878" max="15878" width="0.71875" style="244" customWidth="1"/>
    <col min="15879" max="15879" width="10.421875" style="244" customWidth="1"/>
    <col min="15880" max="15880" width="0.71875" style="244" customWidth="1"/>
    <col min="15881" max="15881" width="9.421875" style="244" customWidth="1"/>
    <col min="15882" max="15882" width="2.421875" style="244" customWidth="1"/>
    <col min="15883" max="15883" width="5.28125" style="244" customWidth="1"/>
    <col min="15884" max="15884" width="7.7109375" style="244" customWidth="1"/>
    <col min="15885" max="16128" width="8.7109375" style="244" customWidth="1"/>
    <col min="16129" max="16129" width="6.28125" style="244" customWidth="1"/>
    <col min="16130" max="16130" width="1.1484375" style="244" customWidth="1"/>
    <col min="16131" max="16131" width="50.421875" style="244" customWidth="1"/>
    <col min="16132" max="16132" width="0.71875" style="244" customWidth="1"/>
    <col min="16133" max="16133" width="5.421875" style="244" customWidth="1"/>
    <col min="16134" max="16134" width="0.71875" style="244" customWidth="1"/>
    <col min="16135" max="16135" width="10.421875" style="244" customWidth="1"/>
    <col min="16136" max="16136" width="0.71875" style="244" customWidth="1"/>
    <col min="16137" max="16137" width="9.421875" style="244" customWidth="1"/>
    <col min="16138" max="16138" width="2.421875" style="244" customWidth="1"/>
    <col min="16139" max="16139" width="5.28125" style="244" customWidth="1"/>
    <col min="16140" max="16140" width="7.7109375" style="244" customWidth="1"/>
    <col min="16141" max="16384" width="8.7109375" style="244" customWidth="1"/>
  </cols>
  <sheetData>
    <row r="1" ht="15.75" customHeight="1">
      <c r="I1" s="251" t="s">
        <v>1668</v>
      </c>
    </row>
    <row r="2" spans="1:12" ht="20.25" customHeight="1">
      <c r="A2" s="444" t="s">
        <v>1560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</row>
    <row r="3" ht="15.75" customHeight="1"/>
    <row r="4" spans="1:12" ht="22.05" customHeight="1">
      <c r="A4" s="445" t="s">
        <v>1561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</row>
    <row r="5" spans="1:12" ht="22.05" customHeight="1">
      <c r="A5" s="446" t="s">
        <v>1562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</row>
    <row r="6" spans="3:11" ht="22.05" customHeight="1">
      <c r="C6" s="446" t="s">
        <v>1669</v>
      </c>
      <c r="D6" s="446"/>
      <c r="E6" s="446"/>
      <c r="F6" s="446"/>
      <c r="G6" s="446"/>
      <c r="H6" s="446"/>
      <c r="I6" s="446"/>
      <c r="J6" s="446"/>
      <c r="K6" s="446"/>
    </row>
    <row r="7" ht="15.75" customHeight="1"/>
    <row r="8" ht="15.75" customHeight="1"/>
    <row r="9" ht="15.75" customHeight="1"/>
    <row r="10" spans="1:12" ht="30.75" customHeight="1">
      <c r="A10" s="254" t="s">
        <v>1564</v>
      </c>
      <c r="B10" s="255"/>
      <c r="C10" s="255" t="s">
        <v>1565</v>
      </c>
      <c r="D10" s="255"/>
      <c r="E10" s="254" t="s">
        <v>1566</v>
      </c>
      <c r="F10" s="255"/>
      <c r="G10" s="255" t="s">
        <v>1567</v>
      </c>
      <c r="H10" s="255"/>
      <c r="I10" s="255" t="s">
        <v>1568</v>
      </c>
      <c r="J10" s="255"/>
      <c r="K10" s="255" t="s">
        <v>1569</v>
      </c>
      <c r="L10" s="255" t="s">
        <v>1570</v>
      </c>
    </row>
    <row r="11" ht="15.75" customHeight="1"/>
    <row r="12" ht="15.75" customHeight="1">
      <c r="C12" s="256" t="s">
        <v>1571</v>
      </c>
    </row>
    <row r="13" ht="9.75" customHeight="1"/>
    <row r="14" spans="1:12" ht="15.75" customHeight="1">
      <c r="A14" s="259">
        <v>222001</v>
      </c>
      <c r="B14" s="260"/>
      <c r="C14" s="261" t="s">
        <v>1670</v>
      </c>
      <c r="D14" s="269"/>
      <c r="E14" s="262">
        <v>1</v>
      </c>
      <c r="F14" s="260"/>
      <c r="G14" s="416"/>
      <c r="H14" s="260"/>
      <c r="I14" s="263">
        <f aca="true" t="shared" si="0" ref="I14:I34">E14*G14</f>
        <v>0</v>
      </c>
      <c r="J14" s="260"/>
      <c r="K14" s="264" t="s">
        <v>1574</v>
      </c>
      <c r="L14" s="264" t="s">
        <v>1575</v>
      </c>
    </row>
    <row r="15" spans="1:12" ht="15.75" customHeight="1">
      <c r="A15" s="259">
        <v>222002</v>
      </c>
      <c r="B15" s="260"/>
      <c r="C15" s="261" t="s">
        <v>1671</v>
      </c>
      <c r="D15" s="269"/>
      <c r="E15" s="262">
        <v>1</v>
      </c>
      <c r="F15" s="260"/>
      <c r="G15" s="416"/>
      <c r="H15" s="260"/>
      <c r="I15" s="263">
        <f t="shared" si="0"/>
        <v>0</v>
      </c>
      <c r="J15" s="260"/>
      <c r="K15" s="264" t="s">
        <v>1574</v>
      </c>
      <c r="L15" s="264" t="s">
        <v>1575</v>
      </c>
    </row>
    <row r="16" spans="1:12" ht="15.75" customHeight="1">
      <c r="A16" s="259">
        <v>222003</v>
      </c>
      <c r="B16" s="260"/>
      <c r="C16" s="261" t="s">
        <v>1672</v>
      </c>
      <c r="D16" s="269"/>
      <c r="E16" s="262">
        <v>1</v>
      </c>
      <c r="F16" s="260"/>
      <c r="G16" s="416"/>
      <c r="H16" s="260"/>
      <c r="I16" s="263">
        <f t="shared" si="0"/>
        <v>0</v>
      </c>
      <c r="J16" s="260"/>
      <c r="K16" s="264" t="s">
        <v>1574</v>
      </c>
      <c r="L16" s="264" t="s">
        <v>1575</v>
      </c>
    </row>
    <row r="17" spans="1:12" ht="15.75" customHeight="1">
      <c r="A17" s="259">
        <v>222004</v>
      </c>
      <c r="B17" s="260"/>
      <c r="C17" s="261" t="s">
        <v>1673</v>
      </c>
      <c r="D17" s="269"/>
      <c r="E17" s="262">
        <v>1</v>
      </c>
      <c r="F17" s="260"/>
      <c r="G17" s="416"/>
      <c r="H17" s="260"/>
      <c r="I17" s="263">
        <f t="shared" si="0"/>
        <v>0</v>
      </c>
      <c r="J17" s="260"/>
      <c r="K17" s="264" t="s">
        <v>1574</v>
      </c>
      <c r="L17" s="264" t="s">
        <v>1575</v>
      </c>
    </row>
    <row r="18" spans="1:12" ht="15.75" customHeight="1">
      <c r="A18" s="259">
        <v>222005</v>
      </c>
      <c r="B18" s="260"/>
      <c r="C18" s="261" t="s">
        <v>1674</v>
      </c>
      <c r="D18" s="269"/>
      <c r="E18" s="262">
        <v>1</v>
      </c>
      <c r="F18" s="260"/>
      <c r="G18" s="416"/>
      <c r="H18" s="260"/>
      <c r="I18" s="263">
        <f t="shared" si="0"/>
        <v>0</v>
      </c>
      <c r="J18" s="260"/>
      <c r="K18" s="264" t="s">
        <v>1574</v>
      </c>
      <c r="L18" s="264" t="s">
        <v>1575</v>
      </c>
    </row>
    <row r="19" spans="1:12" ht="15.75" customHeight="1">
      <c r="A19" s="259">
        <v>222006</v>
      </c>
      <c r="B19" s="260"/>
      <c r="C19" s="261" t="s">
        <v>1675</v>
      </c>
      <c r="D19" s="269"/>
      <c r="E19" s="262">
        <v>1</v>
      </c>
      <c r="F19" s="260"/>
      <c r="G19" s="416"/>
      <c r="H19" s="260"/>
      <c r="I19" s="263">
        <f t="shared" si="0"/>
        <v>0</v>
      </c>
      <c r="J19" s="260"/>
      <c r="K19" s="264" t="s">
        <v>1574</v>
      </c>
      <c r="L19" s="264" t="s">
        <v>1575</v>
      </c>
    </row>
    <row r="20" spans="1:12" ht="15.75" customHeight="1">
      <c r="A20" s="259">
        <v>222007</v>
      </c>
      <c r="B20" s="260"/>
      <c r="C20" s="261" t="s">
        <v>1676</v>
      </c>
      <c r="D20" s="269"/>
      <c r="E20" s="262">
        <v>1</v>
      </c>
      <c r="F20" s="260"/>
      <c r="G20" s="416"/>
      <c r="H20" s="260"/>
      <c r="I20" s="263">
        <f t="shared" si="0"/>
        <v>0</v>
      </c>
      <c r="J20" s="260"/>
      <c r="K20" s="264" t="s">
        <v>1574</v>
      </c>
      <c r="L20" s="264" t="s">
        <v>1575</v>
      </c>
    </row>
    <row r="21" spans="1:12" ht="15.75" customHeight="1">
      <c r="A21" s="259">
        <v>222008</v>
      </c>
      <c r="B21" s="260"/>
      <c r="C21" s="261" t="s">
        <v>1677</v>
      </c>
      <c r="D21" s="269"/>
      <c r="E21" s="262">
        <v>3</v>
      </c>
      <c r="F21" s="260"/>
      <c r="G21" s="416"/>
      <c r="H21" s="260"/>
      <c r="I21" s="263">
        <f t="shared" si="0"/>
        <v>0</v>
      </c>
      <c r="J21" s="260"/>
      <c r="K21" s="264" t="s">
        <v>1574</v>
      </c>
      <c r="L21" s="264" t="s">
        <v>1575</v>
      </c>
    </row>
    <row r="22" spans="1:12" ht="15.75" customHeight="1">
      <c r="A22" s="259">
        <v>222009</v>
      </c>
      <c r="B22" s="260"/>
      <c r="C22" s="261" t="s">
        <v>1678</v>
      </c>
      <c r="D22" s="269"/>
      <c r="E22" s="262">
        <v>15</v>
      </c>
      <c r="F22" s="260"/>
      <c r="G22" s="416"/>
      <c r="H22" s="260"/>
      <c r="I22" s="263">
        <f t="shared" si="0"/>
        <v>0</v>
      </c>
      <c r="J22" s="260"/>
      <c r="K22" s="264" t="s">
        <v>1574</v>
      </c>
      <c r="L22" s="264" t="s">
        <v>1575</v>
      </c>
    </row>
    <row r="23" spans="1:12" ht="15.75" customHeight="1">
      <c r="A23" s="259">
        <v>222010</v>
      </c>
      <c r="B23" s="260"/>
      <c r="C23" s="261" t="s">
        <v>1679</v>
      </c>
      <c r="D23" s="269"/>
      <c r="E23" s="262">
        <v>3</v>
      </c>
      <c r="F23" s="260"/>
      <c r="G23" s="416"/>
      <c r="H23" s="260"/>
      <c r="I23" s="263">
        <f t="shared" si="0"/>
        <v>0</v>
      </c>
      <c r="J23" s="260"/>
      <c r="K23" s="264" t="s">
        <v>1574</v>
      </c>
      <c r="L23" s="264" t="s">
        <v>1575</v>
      </c>
    </row>
    <row r="24" spans="1:12" ht="15.75" customHeight="1">
      <c r="A24" s="259">
        <v>222011</v>
      </c>
      <c r="B24" s="260"/>
      <c r="C24" s="261" t="s">
        <v>1680</v>
      </c>
      <c r="D24" s="269"/>
      <c r="E24" s="262">
        <v>6</v>
      </c>
      <c r="F24" s="260"/>
      <c r="G24" s="416"/>
      <c r="H24" s="260"/>
      <c r="I24" s="263">
        <f t="shared" si="0"/>
        <v>0</v>
      </c>
      <c r="J24" s="260"/>
      <c r="K24" s="264" t="s">
        <v>1574</v>
      </c>
      <c r="L24" s="264" t="s">
        <v>1575</v>
      </c>
    </row>
    <row r="25" spans="1:12" ht="15.75" customHeight="1">
      <c r="A25" s="259">
        <v>222012</v>
      </c>
      <c r="B25" s="260"/>
      <c r="C25" s="261" t="s">
        <v>1681</v>
      </c>
      <c r="D25" s="269"/>
      <c r="E25" s="262">
        <v>2</v>
      </c>
      <c r="F25" s="260"/>
      <c r="G25" s="416"/>
      <c r="H25" s="260"/>
      <c r="I25" s="263">
        <f>E25*G25</f>
        <v>0</v>
      </c>
      <c r="J25" s="260"/>
      <c r="K25" s="264" t="s">
        <v>1574</v>
      </c>
      <c r="L25" s="264" t="s">
        <v>1575</v>
      </c>
    </row>
    <row r="26" spans="1:12" ht="15.75" customHeight="1">
      <c r="A26" s="259">
        <v>222013</v>
      </c>
      <c r="B26" s="260"/>
      <c r="C26" s="261" t="s">
        <v>1682</v>
      </c>
      <c r="D26" s="269"/>
      <c r="E26" s="262">
        <v>13</v>
      </c>
      <c r="F26" s="260"/>
      <c r="G26" s="416"/>
      <c r="H26" s="260"/>
      <c r="I26" s="263">
        <f t="shared" si="0"/>
        <v>0</v>
      </c>
      <c r="J26" s="260"/>
      <c r="K26" s="264" t="s">
        <v>1574</v>
      </c>
      <c r="L26" s="264" t="s">
        <v>1575</v>
      </c>
    </row>
    <row r="27" spans="1:12" ht="15.75" customHeight="1">
      <c r="A27" s="259">
        <v>222014</v>
      </c>
      <c r="B27" s="260"/>
      <c r="C27" s="261" t="s">
        <v>1683</v>
      </c>
      <c r="D27" s="269"/>
      <c r="E27" s="262">
        <v>3</v>
      </c>
      <c r="F27" s="260"/>
      <c r="G27" s="416"/>
      <c r="H27" s="260"/>
      <c r="I27" s="263">
        <f t="shared" si="0"/>
        <v>0</v>
      </c>
      <c r="J27" s="260"/>
      <c r="K27" s="264" t="s">
        <v>1574</v>
      </c>
      <c r="L27" s="264" t="s">
        <v>1575</v>
      </c>
    </row>
    <row r="28" spans="1:12" ht="15.75" customHeight="1">
      <c r="A28" s="259"/>
      <c r="B28" s="260"/>
      <c r="C28" s="261"/>
      <c r="D28" s="269"/>
      <c r="E28" s="262"/>
      <c r="F28" s="260"/>
      <c r="G28" s="416"/>
      <c r="H28" s="260"/>
      <c r="I28" s="263"/>
      <c r="J28" s="260"/>
      <c r="K28" s="264"/>
      <c r="L28" s="264"/>
    </row>
    <row r="29" spans="1:12" ht="15.75" customHeight="1">
      <c r="A29" s="259">
        <v>222015</v>
      </c>
      <c r="B29" s="260"/>
      <c r="C29" s="261" t="s">
        <v>1684</v>
      </c>
      <c r="D29" s="269"/>
      <c r="E29" s="262">
        <v>330</v>
      </c>
      <c r="F29" s="260"/>
      <c r="G29" s="416"/>
      <c r="H29" s="260"/>
      <c r="I29" s="263">
        <f t="shared" si="0"/>
        <v>0</v>
      </c>
      <c r="J29" s="260"/>
      <c r="K29" s="264" t="s">
        <v>1574</v>
      </c>
      <c r="L29" s="264" t="s">
        <v>1575</v>
      </c>
    </row>
    <row r="30" spans="1:12" ht="15.75" customHeight="1">
      <c r="A30" s="259">
        <v>222016</v>
      </c>
      <c r="B30" s="260"/>
      <c r="C30" s="261" t="s">
        <v>1685</v>
      </c>
      <c r="D30" s="269"/>
      <c r="E30" s="262">
        <v>150</v>
      </c>
      <c r="F30" s="260"/>
      <c r="G30" s="416"/>
      <c r="H30" s="260"/>
      <c r="I30" s="263">
        <f t="shared" si="0"/>
        <v>0</v>
      </c>
      <c r="J30" s="260"/>
      <c r="K30" s="264" t="s">
        <v>1574</v>
      </c>
      <c r="L30" s="264" t="s">
        <v>1575</v>
      </c>
    </row>
    <row r="31" spans="1:12" ht="15.75" customHeight="1">
      <c r="A31" s="259">
        <v>222017</v>
      </c>
      <c r="B31" s="260"/>
      <c r="C31" s="261" t="s">
        <v>1686</v>
      </c>
      <c r="D31" s="269"/>
      <c r="E31" s="262">
        <v>80</v>
      </c>
      <c r="F31" s="260"/>
      <c r="G31" s="416"/>
      <c r="H31" s="260"/>
      <c r="I31" s="263">
        <f>E31*G31</f>
        <v>0</v>
      </c>
      <c r="J31" s="260"/>
      <c r="K31" s="264" t="s">
        <v>1574</v>
      </c>
      <c r="L31" s="264" t="s">
        <v>1575</v>
      </c>
    </row>
    <row r="32" spans="1:12" ht="15.75" customHeight="1">
      <c r="A32" s="259">
        <v>222018</v>
      </c>
      <c r="B32" s="260"/>
      <c r="C32" s="261" t="s">
        <v>1587</v>
      </c>
      <c r="D32" s="269"/>
      <c r="E32" s="262">
        <v>15</v>
      </c>
      <c r="F32" s="260"/>
      <c r="G32" s="416"/>
      <c r="H32" s="260"/>
      <c r="I32" s="263">
        <f>E32*G32</f>
        <v>0</v>
      </c>
      <c r="J32" s="260"/>
      <c r="K32" s="264" t="s">
        <v>1574</v>
      </c>
      <c r="L32" s="264" t="s">
        <v>1575</v>
      </c>
    </row>
    <row r="33" spans="1:12" ht="15.75" customHeight="1">
      <c r="A33" s="259">
        <v>222019</v>
      </c>
      <c r="B33" s="260"/>
      <c r="C33" s="261" t="s">
        <v>1687</v>
      </c>
      <c r="D33" s="269"/>
      <c r="E33" s="262">
        <v>15</v>
      </c>
      <c r="F33" s="260"/>
      <c r="G33" s="416"/>
      <c r="H33" s="260"/>
      <c r="I33" s="263">
        <f t="shared" si="0"/>
        <v>0</v>
      </c>
      <c r="J33" s="260"/>
      <c r="K33" s="264" t="s">
        <v>1574</v>
      </c>
      <c r="L33" s="264" t="s">
        <v>1575</v>
      </c>
    </row>
    <row r="34" spans="1:12" ht="15.75" customHeight="1">
      <c r="A34" s="259">
        <v>222020</v>
      </c>
      <c r="B34" s="260"/>
      <c r="C34" s="261" t="s">
        <v>1688</v>
      </c>
      <c r="D34" s="269"/>
      <c r="E34" s="262">
        <v>1</v>
      </c>
      <c r="F34" s="260"/>
      <c r="G34" s="416"/>
      <c r="H34" s="260"/>
      <c r="I34" s="263">
        <f t="shared" si="0"/>
        <v>0</v>
      </c>
      <c r="J34" s="260"/>
      <c r="K34" s="264" t="s">
        <v>1574</v>
      </c>
      <c r="L34" s="264" t="s">
        <v>1575</v>
      </c>
    </row>
    <row r="35" spans="1:12" ht="15.75" customHeight="1">
      <c r="A35" s="259">
        <v>222021</v>
      </c>
      <c r="B35" s="260"/>
      <c r="C35" s="261" t="s">
        <v>1597</v>
      </c>
      <c r="D35" s="260"/>
      <c r="E35" s="262">
        <v>1</v>
      </c>
      <c r="F35" s="260"/>
      <c r="G35" s="416"/>
      <c r="H35" s="260"/>
      <c r="I35" s="263">
        <f>E35*G35</f>
        <v>0</v>
      </c>
      <c r="J35" s="260"/>
      <c r="K35" s="264" t="s">
        <v>1574</v>
      </c>
      <c r="L35" s="264" t="s">
        <v>1575</v>
      </c>
    </row>
    <row r="36" spans="1:12" ht="15.75" customHeight="1">
      <c r="A36" s="259"/>
      <c r="B36" s="260"/>
      <c r="C36" s="261"/>
      <c r="D36" s="260"/>
      <c r="E36" s="262"/>
      <c r="F36" s="260"/>
      <c r="G36" s="416"/>
      <c r="H36" s="260"/>
      <c r="I36" s="267">
        <f>E36*G36</f>
        <v>0</v>
      </c>
      <c r="J36" s="260"/>
      <c r="K36" s="264"/>
      <c r="L36" s="264"/>
    </row>
    <row r="37" spans="1:12" ht="15.75" customHeight="1">
      <c r="A37" s="259"/>
      <c r="B37" s="260"/>
      <c r="C37" s="261"/>
      <c r="D37" s="260"/>
      <c r="E37" s="262"/>
      <c r="F37" s="260"/>
      <c r="G37" s="416"/>
      <c r="H37" s="260"/>
      <c r="I37" s="267">
        <f>E37*G37</f>
        <v>0</v>
      </c>
      <c r="J37" s="260"/>
      <c r="K37" s="264"/>
      <c r="L37" s="264"/>
    </row>
    <row r="38" spans="1:12" ht="15.75" customHeight="1">
      <c r="A38" s="259"/>
      <c r="B38" s="260"/>
      <c r="C38" s="261"/>
      <c r="D38" s="260"/>
      <c r="E38" s="262"/>
      <c r="F38" s="260"/>
      <c r="G38" s="416"/>
      <c r="H38" s="260"/>
      <c r="I38" s="267">
        <f>E38*G38</f>
        <v>0</v>
      </c>
      <c r="J38" s="260"/>
      <c r="K38" s="264"/>
      <c r="L38" s="264"/>
    </row>
    <row r="39" spans="1:12" ht="15.75" customHeight="1">
      <c r="A39" s="259"/>
      <c r="B39" s="260"/>
      <c r="C39" s="256" t="s">
        <v>1624</v>
      </c>
      <c r="D39" s="260"/>
      <c r="E39" s="262"/>
      <c r="F39" s="260"/>
      <c r="G39" s="416"/>
      <c r="H39" s="260"/>
      <c r="I39" s="263"/>
      <c r="J39" s="260"/>
      <c r="K39" s="264"/>
      <c r="L39" s="264"/>
    </row>
    <row r="40" spans="1:12" ht="9.75" customHeight="1">
      <c r="A40" s="259"/>
      <c r="B40" s="260"/>
      <c r="C40" s="261"/>
      <c r="D40" s="260"/>
      <c r="E40" s="262"/>
      <c r="F40" s="260"/>
      <c r="G40" s="416"/>
      <c r="H40" s="260"/>
      <c r="I40" s="263"/>
      <c r="J40" s="260"/>
      <c r="K40" s="264"/>
      <c r="L40" s="264"/>
    </row>
    <row r="41" spans="1:12" ht="15.75" customHeight="1">
      <c r="A41" s="259">
        <v>222022</v>
      </c>
      <c r="B41" s="260"/>
      <c r="C41" s="261" t="s">
        <v>1625</v>
      </c>
      <c r="D41" s="260"/>
      <c r="E41" s="262">
        <v>1</v>
      </c>
      <c r="F41" s="260"/>
      <c r="G41" s="416"/>
      <c r="H41" s="260"/>
      <c r="I41" s="263">
        <f aca="true" t="shared" si="1" ref="I41:I63">E41*G41</f>
        <v>0</v>
      </c>
      <c r="J41" s="260"/>
      <c r="K41" s="264" t="s">
        <v>1626</v>
      </c>
      <c r="L41" s="264" t="s">
        <v>1575</v>
      </c>
    </row>
    <row r="42" spans="1:12" ht="15.75" customHeight="1">
      <c r="A42" s="259">
        <v>222023</v>
      </c>
      <c r="B42" s="260"/>
      <c r="C42" s="261" t="s">
        <v>1689</v>
      </c>
      <c r="D42" s="269"/>
      <c r="E42" s="262">
        <v>1</v>
      </c>
      <c r="F42" s="260"/>
      <c r="G42" s="416"/>
      <c r="H42" s="260"/>
      <c r="I42" s="263">
        <f t="shared" si="1"/>
        <v>0</v>
      </c>
      <c r="J42" s="260"/>
      <c r="K42" s="264" t="s">
        <v>1626</v>
      </c>
      <c r="L42" s="264" t="s">
        <v>1575</v>
      </c>
    </row>
    <row r="43" spans="1:12" ht="15.75" customHeight="1">
      <c r="A43" s="259">
        <v>222024</v>
      </c>
      <c r="B43" s="260"/>
      <c r="C43" s="261" t="s">
        <v>1690</v>
      </c>
      <c r="D43" s="269"/>
      <c r="E43" s="262">
        <v>1</v>
      </c>
      <c r="F43" s="260"/>
      <c r="G43" s="416"/>
      <c r="H43" s="260"/>
      <c r="I43" s="263">
        <f t="shared" si="1"/>
        <v>0</v>
      </c>
      <c r="J43" s="260"/>
      <c r="K43" s="264" t="s">
        <v>1626</v>
      </c>
      <c r="L43" s="264" t="s">
        <v>1575</v>
      </c>
    </row>
    <row r="44" spans="1:12" ht="15.75" customHeight="1">
      <c r="A44" s="259">
        <v>222025</v>
      </c>
      <c r="B44" s="260"/>
      <c r="C44" s="261" t="s">
        <v>1691</v>
      </c>
      <c r="D44" s="269"/>
      <c r="E44" s="262">
        <v>1</v>
      </c>
      <c r="F44" s="260"/>
      <c r="G44" s="416"/>
      <c r="H44" s="260"/>
      <c r="I44" s="263">
        <f t="shared" si="1"/>
        <v>0</v>
      </c>
      <c r="J44" s="260"/>
      <c r="K44" s="264" t="s">
        <v>1626</v>
      </c>
      <c r="L44" s="264" t="s">
        <v>1575</v>
      </c>
    </row>
    <row r="45" spans="1:12" ht="15.75" customHeight="1">
      <c r="A45" s="259">
        <v>222026</v>
      </c>
      <c r="B45" s="260"/>
      <c r="C45" s="261" t="s">
        <v>1692</v>
      </c>
      <c r="D45" s="269"/>
      <c r="E45" s="262">
        <v>3</v>
      </c>
      <c r="F45" s="260"/>
      <c r="G45" s="416"/>
      <c r="H45" s="260"/>
      <c r="I45" s="263">
        <f t="shared" si="1"/>
        <v>0</v>
      </c>
      <c r="J45" s="260"/>
      <c r="K45" s="264" t="s">
        <v>1626</v>
      </c>
      <c r="L45" s="264" t="s">
        <v>1575</v>
      </c>
    </row>
    <row r="46" spans="1:12" ht="15.75" customHeight="1">
      <c r="A46" s="259">
        <v>222027</v>
      </c>
      <c r="B46" s="260"/>
      <c r="C46" s="261" t="s">
        <v>1678</v>
      </c>
      <c r="D46" s="269"/>
      <c r="E46" s="262">
        <v>15</v>
      </c>
      <c r="F46" s="260"/>
      <c r="G46" s="416"/>
      <c r="H46" s="260"/>
      <c r="I46" s="263">
        <f t="shared" si="1"/>
        <v>0</v>
      </c>
      <c r="J46" s="260"/>
      <c r="K46" s="264" t="s">
        <v>1626</v>
      </c>
      <c r="L46" s="264" t="s">
        <v>1575</v>
      </c>
    </row>
    <row r="47" spans="1:12" ht="15.75" customHeight="1">
      <c r="A47" s="259">
        <v>222028</v>
      </c>
      <c r="B47" s="260"/>
      <c r="C47" s="261" t="s">
        <v>1679</v>
      </c>
      <c r="D47" s="269"/>
      <c r="E47" s="262">
        <v>3</v>
      </c>
      <c r="F47" s="260"/>
      <c r="G47" s="416"/>
      <c r="H47" s="260"/>
      <c r="I47" s="263">
        <f t="shared" si="1"/>
        <v>0</v>
      </c>
      <c r="J47" s="260"/>
      <c r="K47" s="264" t="s">
        <v>1626</v>
      </c>
      <c r="L47" s="264" t="s">
        <v>1575</v>
      </c>
    </row>
    <row r="48" spans="1:12" ht="15.75" customHeight="1">
      <c r="A48" s="259">
        <v>222029</v>
      </c>
      <c r="B48" s="260"/>
      <c r="C48" s="261" t="s">
        <v>1693</v>
      </c>
      <c r="D48" s="269"/>
      <c r="E48" s="262">
        <v>6</v>
      </c>
      <c r="F48" s="260"/>
      <c r="G48" s="416"/>
      <c r="H48" s="260"/>
      <c r="I48" s="263">
        <f t="shared" si="1"/>
        <v>0</v>
      </c>
      <c r="J48" s="260"/>
      <c r="K48" s="264" t="s">
        <v>1626</v>
      </c>
      <c r="L48" s="264" t="s">
        <v>1575</v>
      </c>
    </row>
    <row r="49" spans="1:12" ht="15.75" customHeight="1">
      <c r="A49" s="259">
        <v>222030</v>
      </c>
      <c r="B49" s="260"/>
      <c r="C49" s="261" t="s">
        <v>1681</v>
      </c>
      <c r="D49" s="269"/>
      <c r="E49" s="262">
        <v>2</v>
      </c>
      <c r="F49" s="260"/>
      <c r="G49" s="416"/>
      <c r="H49" s="260"/>
      <c r="I49" s="263">
        <f t="shared" si="1"/>
        <v>0</v>
      </c>
      <c r="J49" s="260"/>
      <c r="K49" s="264" t="s">
        <v>1626</v>
      </c>
      <c r="L49" s="264" t="s">
        <v>1575</v>
      </c>
    </row>
    <row r="50" spans="1:12" ht="15.75" customHeight="1">
      <c r="A50" s="259">
        <v>222031</v>
      </c>
      <c r="B50" s="260"/>
      <c r="C50" s="261" t="s">
        <v>1682</v>
      </c>
      <c r="D50" s="269"/>
      <c r="E50" s="262">
        <v>13</v>
      </c>
      <c r="F50" s="260"/>
      <c r="G50" s="416"/>
      <c r="H50" s="260"/>
      <c r="I50" s="263">
        <f t="shared" si="1"/>
        <v>0</v>
      </c>
      <c r="J50" s="260"/>
      <c r="K50" s="264" t="s">
        <v>1626</v>
      </c>
      <c r="L50" s="264" t="s">
        <v>1575</v>
      </c>
    </row>
    <row r="51" spans="1:12" ht="15.75" customHeight="1">
      <c r="A51" s="259">
        <v>222032</v>
      </c>
      <c r="B51" s="260"/>
      <c r="C51" s="261" t="s">
        <v>1694</v>
      </c>
      <c r="D51" s="269"/>
      <c r="E51" s="262">
        <v>3</v>
      </c>
      <c r="F51" s="260"/>
      <c r="G51" s="416"/>
      <c r="H51" s="260"/>
      <c r="I51" s="263">
        <f t="shared" si="1"/>
        <v>0</v>
      </c>
      <c r="J51" s="260"/>
      <c r="K51" s="264" t="s">
        <v>1626</v>
      </c>
      <c r="L51" s="264" t="s">
        <v>1575</v>
      </c>
    </row>
    <row r="52" spans="1:12" ht="15.75" customHeight="1">
      <c r="A52" s="259">
        <v>222033</v>
      </c>
      <c r="B52" s="260"/>
      <c r="C52" s="261" t="s">
        <v>1695</v>
      </c>
      <c r="D52" s="269"/>
      <c r="E52" s="262">
        <v>1</v>
      </c>
      <c r="F52" s="260"/>
      <c r="G52" s="416"/>
      <c r="H52" s="260"/>
      <c r="I52" s="263">
        <f>E52*G52</f>
        <v>0</v>
      </c>
      <c r="J52" s="260"/>
      <c r="K52" s="264" t="s">
        <v>1626</v>
      </c>
      <c r="L52" s="264" t="s">
        <v>1575</v>
      </c>
    </row>
    <row r="53" spans="1:12" ht="15.75" customHeight="1">
      <c r="A53" s="259"/>
      <c r="B53" s="260"/>
      <c r="C53" s="261" t="s">
        <v>1696</v>
      </c>
      <c r="D53" s="269"/>
      <c r="E53" s="262"/>
      <c r="F53" s="260"/>
      <c r="G53" s="416"/>
      <c r="H53" s="260"/>
      <c r="I53" s="263"/>
      <c r="J53" s="260"/>
      <c r="K53" s="264"/>
      <c r="L53" s="264"/>
    </row>
    <row r="54" spans="1:12" ht="15.75" customHeight="1">
      <c r="A54" s="259"/>
      <c r="B54" s="260"/>
      <c r="C54" s="261"/>
      <c r="D54" s="269"/>
      <c r="E54" s="262"/>
      <c r="F54" s="260"/>
      <c r="G54" s="416"/>
      <c r="H54" s="260"/>
      <c r="I54" s="263"/>
      <c r="J54" s="260"/>
      <c r="K54" s="264"/>
      <c r="L54" s="264"/>
    </row>
    <row r="55" spans="1:12" ht="15.75" customHeight="1">
      <c r="A55" s="259">
        <v>222034</v>
      </c>
      <c r="B55" s="260"/>
      <c r="C55" s="261" t="s">
        <v>1654</v>
      </c>
      <c r="D55" s="269"/>
      <c r="E55" s="262">
        <v>140</v>
      </c>
      <c r="F55" s="260"/>
      <c r="G55" s="416"/>
      <c r="H55" s="260"/>
      <c r="I55" s="263">
        <f t="shared" si="1"/>
        <v>0</v>
      </c>
      <c r="J55" s="260"/>
      <c r="K55" s="264" t="s">
        <v>1626</v>
      </c>
      <c r="L55" s="264" t="s">
        <v>1575</v>
      </c>
    </row>
    <row r="56" spans="1:12" ht="15.75" customHeight="1">
      <c r="A56" s="259">
        <v>222035</v>
      </c>
      <c r="B56" s="260"/>
      <c r="C56" s="261" t="s">
        <v>1697</v>
      </c>
      <c r="D56" s="269"/>
      <c r="E56" s="262">
        <v>420</v>
      </c>
      <c r="F56" s="260"/>
      <c r="G56" s="416"/>
      <c r="H56" s="260"/>
      <c r="I56" s="263">
        <f t="shared" si="1"/>
        <v>0</v>
      </c>
      <c r="J56" s="260"/>
      <c r="K56" s="264" t="s">
        <v>1626</v>
      </c>
      <c r="L56" s="264" t="s">
        <v>1575</v>
      </c>
    </row>
    <row r="57" spans="1:12" ht="15.75" customHeight="1">
      <c r="A57" s="259">
        <v>222036</v>
      </c>
      <c r="B57" s="260"/>
      <c r="C57" s="261" t="s">
        <v>1698</v>
      </c>
      <c r="D57" s="269"/>
      <c r="E57" s="262">
        <v>15</v>
      </c>
      <c r="F57" s="260"/>
      <c r="G57" s="416"/>
      <c r="H57" s="260"/>
      <c r="I57" s="263">
        <f>E57*G57</f>
        <v>0</v>
      </c>
      <c r="J57" s="260"/>
      <c r="K57" s="264" t="s">
        <v>1626</v>
      </c>
      <c r="L57" s="264" t="s">
        <v>1575</v>
      </c>
    </row>
    <row r="58" spans="1:12" ht="15.75" customHeight="1">
      <c r="A58" s="259">
        <v>222037</v>
      </c>
      <c r="B58" s="260"/>
      <c r="C58" s="261" t="s">
        <v>1637</v>
      </c>
      <c r="D58" s="269"/>
      <c r="E58" s="262">
        <v>15</v>
      </c>
      <c r="F58" s="260"/>
      <c r="G58" s="416"/>
      <c r="H58" s="260"/>
      <c r="I58" s="263">
        <f t="shared" si="1"/>
        <v>0</v>
      </c>
      <c r="J58" s="260"/>
      <c r="K58" s="264" t="s">
        <v>1626</v>
      </c>
      <c r="L58" s="264" t="s">
        <v>1575</v>
      </c>
    </row>
    <row r="59" spans="1:12" ht="15.75" customHeight="1">
      <c r="A59" s="259">
        <v>222038</v>
      </c>
      <c r="B59" s="260"/>
      <c r="C59" s="261" t="s">
        <v>1638</v>
      </c>
      <c r="D59" s="269"/>
      <c r="E59" s="262">
        <v>1</v>
      </c>
      <c r="F59" s="260"/>
      <c r="G59" s="416"/>
      <c r="H59" s="260"/>
      <c r="I59" s="263">
        <f t="shared" si="1"/>
        <v>0</v>
      </c>
      <c r="J59" s="260"/>
      <c r="K59" s="264" t="s">
        <v>1626</v>
      </c>
      <c r="L59" s="264" t="s">
        <v>1575</v>
      </c>
    </row>
    <row r="60" spans="1:12" ht="15.75" customHeight="1">
      <c r="A60" s="259">
        <v>222039</v>
      </c>
      <c r="B60" s="260"/>
      <c r="C60" s="261" t="s">
        <v>1643</v>
      </c>
      <c r="D60" s="260"/>
      <c r="E60" s="262">
        <v>24</v>
      </c>
      <c r="F60" s="260"/>
      <c r="G60" s="416"/>
      <c r="H60" s="260"/>
      <c r="I60" s="263">
        <f t="shared" si="1"/>
        <v>0</v>
      </c>
      <c r="J60" s="260"/>
      <c r="K60" s="264" t="s">
        <v>1626</v>
      </c>
      <c r="L60" s="264" t="s">
        <v>1575</v>
      </c>
    </row>
    <row r="61" spans="1:12" ht="15.75" customHeight="1">
      <c r="A61" s="259">
        <v>222040</v>
      </c>
      <c r="B61" s="260"/>
      <c r="C61" s="261" t="s">
        <v>1644</v>
      </c>
      <c r="D61" s="260"/>
      <c r="E61" s="262">
        <v>1</v>
      </c>
      <c r="F61" s="260"/>
      <c r="G61" s="416"/>
      <c r="H61" s="260"/>
      <c r="I61" s="263">
        <f t="shared" si="1"/>
        <v>0</v>
      </c>
      <c r="J61" s="260"/>
      <c r="K61" s="264" t="s">
        <v>1626</v>
      </c>
      <c r="L61" s="264" t="s">
        <v>1575</v>
      </c>
    </row>
    <row r="62" spans="1:12" ht="15.75" customHeight="1">
      <c r="A62" s="259">
        <v>222041</v>
      </c>
      <c r="B62" s="260"/>
      <c r="C62" s="261" t="s">
        <v>1645</v>
      </c>
      <c r="D62" s="260"/>
      <c r="E62" s="262">
        <v>1</v>
      </c>
      <c r="F62" s="260"/>
      <c r="G62" s="416"/>
      <c r="H62" s="260"/>
      <c r="I62" s="263">
        <f t="shared" si="1"/>
        <v>0</v>
      </c>
      <c r="J62" s="260"/>
      <c r="K62" s="264" t="s">
        <v>1626</v>
      </c>
      <c r="L62" s="264" t="s">
        <v>1575</v>
      </c>
    </row>
    <row r="63" spans="1:12" ht="15.75" customHeight="1">
      <c r="A63" s="259">
        <v>222042</v>
      </c>
      <c r="B63" s="260"/>
      <c r="C63" s="261" t="s">
        <v>1699</v>
      </c>
      <c r="D63" s="260"/>
      <c r="E63" s="262">
        <v>1</v>
      </c>
      <c r="F63" s="260"/>
      <c r="G63" s="416"/>
      <c r="H63" s="260"/>
      <c r="I63" s="263">
        <f t="shared" si="1"/>
        <v>0</v>
      </c>
      <c r="J63" s="260"/>
      <c r="K63" s="264" t="s">
        <v>1626</v>
      </c>
      <c r="L63" s="264" t="s">
        <v>1575</v>
      </c>
    </row>
    <row r="64" spans="1:12" ht="15.75" customHeight="1">
      <c r="A64" s="259">
        <v>222043</v>
      </c>
      <c r="B64" s="260"/>
      <c r="C64" s="261" t="s">
        <v>1700</v>
      </c>
      <c r="D64" s="260"/>
      <c r="E64" s="262">
        <v>1</v>
      </c>
      <c r="F64" s="260"/>
      <c r="G64" s="416"/>
      <c r="H64" s="260"/>
      <c r="I64" s="263">
        <f>E64*G64</f>
        <v>0</v>
      </c>
      <c r="J64" s="260"/>
      <c r="K64" s="264" t="s">
        <v>1626</v>
      </c>
      <c r="L64" s="264" t="s">
        <v>1575</v>
      </c>
    </row>
    <row r="65" spans="1:12" ht="15.75" customHeight="1">
      <c r="A65" s="259"/>
      <c r="B65" s="260"/>
      <c r="C65" s="261"/>
      <c r="D65" s="260"/>
      <c r="E65" s="262"/>
      <c r="F65" s="260"/>
      <c r="G65" s="263"/>
      <c r="H65" s="260"/>
      <c r="I65" s="267">
        <f>E65*G65</f>
        <v>0</v>
      </c>
      <c r="J65" s="260"/>
      <c r="K65" s="264"/>
      <c r="L65" s="264"/>
    </row>
    <row r="66" spans="1:12" ht="15.75" customHeight="1">
      <c r="A66" s="259"/>
      <c r="B66" s="260"/>
      <c r="C66" s="261"/>
      <c r="D66" s="260"/>
      <c r="E66" s="262"/>
      <c r="F66" s="260"/>
      <c r="G66" s="263"/>
      <c r="H66" s="260"/>
      <c r="I66" s="263"/>
      <c r="J66" s="260"/>
      <c r="K66" s="264"/>
      <c r="L66" s="264"/>
    </row>
    <row r="67" spans="1:12" ht="15.75" customHeight="1">
      <c r="A67" s="259"/>
      <c r="B67" s="260"/>
      <c r="C67" s="261"/>
      <c r="D67" s="260"/>
      <c r="E67" s="262"/>
      <c r="F67" s="260"/>
      <c r="G67" s="263"/>
      <c r="H67" s="260"/>
      <c r="I67" s="263"/>
      <c r="J67" s="260"/>
      <c r="K67" s="264"/>
      <c r="L67" s="264"/>
    </row>
    <row r="68" spans="1:12" ht="15.75" customHeight="1">
      <c r="A68" s="270"/>
      <c r="B68" s="270"/>
      <c r="C68" s="271" t="s">
        <v>1660</v>
      </c>
      <c r="D68" s="270"/>
      <c r="E68" s="270"/>
      <c r="F68" s="270"/>
      <c r="G68" s="270"/>
      <c r="H68" s="270"/>
      <c r="I68" s="270"/>
      <c r="J68" s="270"/>
      <c r="K68" s="270"/>
      <c r="L68" s="270"/>
    </row>
    <row r="69" spans="1:12" ht="15.75" customHeight="1">
      <c r="A69" s="272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</row>
    <row r="70" spans="1:12" ht="15.75" customHeight="1">
      <c r="A70" s="270"/>
      <c r="B70" s="270"/>
      <c r="C70" s="273" t="s">
        <v>1661</v>
      </c>
      <c r="D70" s="270"/>
      <c r="E70" s="447">
        <f>SUM(I14:I38)</f>
        <v>0</v>
      </c>
      <c r="F70" s="447"/>
      <c r="G70" s="447"/>
      <c r="H70" s="270"/>
      <c r="I70" s="274" t="s">
        <v>1662</v>
      </c>
      <c r="J70" s="270"/>
      <c r="K70" s="270"/>
      <c r="L70" s="270"/>
    </row>
    <row r="71" spans="1:12" ht="15.75" customHeight="1">
      <c r="A71" s="270"/>
      <c r="B71" s="270"/>
      <c r="C71" s="273" t="s">
        <v>1663</v>
      </c>
      <c r="D71" s="270"/>
      <c r="E71" s="447">
        <f>SUM(I41:I66)</f>
        <v>0</v>
      </c>
      <c r="F71" s="447"/>
      <c r="G71" s="447"/>
      <c r="H71" s="270"/>
      <c r="I71" s="274" t="s">
        <v>1662</v>
      </c>
      <c r="J71" s="270"/>
      <c r="K71" s="270"/>
      <c r="L71" s="270"/>
    </row>
    <row r="72" spans="1:12" ht="15.75" customHeight="1">
      <c r="A72" s="270"/>
      <c r="B72" s="270"/>
      <c r="C72" s="273" t="s">
        <v>1664</v>
      </c>
      <c r="D72" s="270"/>
      <c r="E72" s="442"/>
      <c r="F72" s="442"/>
      <c r="G72" s="442"/>
      <c r="H72" s="270"/>
      <c r="I72" s="274" t="s">
        <v>1662</v>
      </c>
      <c r="J72" s="270"/>
      <c r="K72" s="270"/>
      <c r="L72" s="270"/>
    </row>
    <row r="73" spans="1:12" ht="15.75" customHeight="1">
      <c r="A73" s="270"/>
      <c r="B73" s="270"/>
      <c r="C73" s="273" t="s">
        <v>1701</v>
      </c>
      <c r="D73" s="270"/>
      <c r="E73" s="442"/>
      <c r="F73" s="442"/>
      <c r="G73" s="442"/>
      <c r="H73" s="270"/>
      <c r="I73" s="274" t="s">
        <v>1662</v>
      </c>
      <c r="J73" s="270"/>
      <c r="K73" s="270"/>
      <c r="L73" s="270"/>
    </row>
    <row r="74" spans="1:12" ht="15.75" customHeight="1">
      <c r="A74" s="270"/>
      <c r="B74" s="270"/>
      <c r="C74" s="273" t="s">
        <v>1665</v>
      </c>
      <c r="D74" s="270"/>
      <c r="E74" s="442"/>
      <c r="F74" s="442"/>
      <c r="G74" s="442"/>
      <c r="H74" s="270"/>
      <c r="I74" s="274" t="s">
        <v>1662</v>
      </c>
      <c r="J74" s="270"/>
      <c r="K74" s="270"/>
      <c r="L74" s="270"/>
    </row>
    <row r="75" spans="1:12" ht="15.75" customHeight="1">
      <c r="A75" s="270"/>
      <c r="B75" s="270"/>
      <c r="C75" s="273"/>
      <c r="D75" s="270"/>
      <c r="E75" s="275"/>
      <c r="F75" s="276"/>
      <c r="G75" s="277"/>
      <c r="H75" s="270"/>
      <c r="I75" s="270"/>
      <c r="J75" s="270"/>
      <c r="K75" s="270"/>
      <c r="L75" s="270"/>
    </row>
    <row r="76" spans="1:12" ht="15.75" customHeight="1">
      <c r="A76" s="278" t="s">
        <v>1666</v>
      </c>
      <c r="B76" s="270"/>
      <c r="C76" s="270"/>
      <c r="D76" s="270"/>
      <c r="E76" s="443">
        <f>SUM(E70:E74)</f>
        <v>0</v>
      </c>
      <c r="F76" s="443"/>
      <c r="G76" s="443"/>
      <c r="H76" s="270"/>
      <c r="I76" s="279" t="s">
        <v>1667</v>
      </c>
      <c r="J76" s="270"/>
      <c r="K76" s="270"/>
      <c r="L76" s="270"/>
    </row>
    <row r="77" spans="1:6" ht="15.75" customHeight="1">
      <c r="A77" s="280"/>
      <c r="F77" s="281"/>
    </row>
    <row r="78" ht="15.75" customHeight="1"/>
    <row r="79" spans="1:12" ht="15.75" customHeight="1">
      <c r="A79" s="259"/>
      <c r="B79" s="260"/>
      <c r="C79" s="261"/>
      <c r="D79" s="260"/>
      <c r="E79" s="262"/>
      <c r="F79" s="260"/>
      <c r="G79" s="263"/>
      <c r="H79" s="260"/>
      <c r="I79" s="263"/>
      <c r="J79" s="260"/>
      <c r="K79" s="264"/>
      <c r="L79" s="264"/>
    </row>
    <row r="80" spans="1:12" ht="15.75" customHeight="1">
      <c r="A80" s="259"/>
      <c r="B80" s="260"/>
      <c r="C80" s="261"/>
      <c r="D80" s="260"/>
      <c r="E80" s="262"/>
      <c r="F80" s="260"/>
      <c r="G80" s="263"/>
      <c r="H80" s="260"/>
      <c r="I80" s="263"/>
      <c r="J80" s="260"/>
      <c r="K80" s="264"/>
      <c r="L80" s="264"/>
    </row>
    <row r="81" spans="1:12" ht="15.75" customHeight="1">
      <c r="A81" s="259"/>
      <c r="B81" s="260"/>
      <c r="C81" s="261"/>
      <c r="D81" s="260"/>
      <c r="E81" s="262"/>
      <c r="F81" s="260"/>
      <c r="G81" s="263"/>
      <c r="H81" s="260"/>
      <c r="I81" s="263"/>
      <c r="J81" s="260"/>
      <c r="K81" s="264"/>
      <c r="L81" s="264"/>
    </row>
    <row r="82" spans="1:12" ht="15.75" customHeight="1">
      <c r="A82" s="259"/>
      <c r="B82" s="260"/>
      <c r="C82" s="261"/>
      <c r="D82" s="260"/>
      <c r="E82" s="262"/>
      <c r="F82" s="260"/>
      <c r="G82" s="263"/>
      <c r="H82" s="260"/>
      <c r="I82" s="263"/>
      <c r="J82" s="260"/>
      <c r="K82" s="264"/>
      <c r="L82" s="264"/>
    </row>
    <row r="83" spans="1:12" ht="15.75" customHeight="1">
      <c r="A83" s="259"/>
      <c r="B83" s="260"/>
      <c r="C83" s="261"/>
      <c r="D83" s="260"/>
      <c r="E83" s="262"/>
      <c r="F83" s="260"/>
      <c r="G83" s="263"/>
      <c r="H83" s="260"/>
      <c r="I83" s="263"/>
      <c r="J83" s="260"/>
      <c r="K83" s="264"/>
      <c r="L83" s="264"/>
    </row>
    <row r="84" spans="1:12" ht="15.75" customHeight="1">
      <c r="A84" s="259"/>
      <c r="B84" s="260"/>
      <c r="C84" s="261"/>
      <c r="D84" s="260"/>
      <c r="E84" s="262"/>
      <c r="F84" s="260"/>
      <c r="G84" s="263"/>
      <c r="H84" s="260"/>
      <c r="I84" s="263"/>
      <c r="J84" s="260"/>
      <c r="K84" s="264"/>
      <c r="L84" s="264"/>
    </row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</sheetData>
  <sheetProtection algorithmName="SHA-512" hashValue="kfnR2dL6NV3Q+QKQQhPVibcjvz54jskJvbKcRCfAwR04qDoMD0NRq1GzgSTwYlVjr/dk3/CNIuRKaaAMZNh2hQ==" saltValue="UHSH5NXImga71Ri5IsokyQ==" spinCount="100000" sheet="1" objects="1" scenarios="1"/>
  <mergeCells count="10">
    <mergeCell ref="E72:G72"/>
    <mergeCell ref="E73:G73"/>
    <mergeCell ref="E74:G74"/>
    <mergeCell ref="E76:G76"/>
    <mergeCell ref="A2:L2"/>
    <mergeCell ref="A4:L4"/>
    <mergeCell ref="A5:L5"/>
    <mergeCell ref="C6:K6"/>
    <mergeCell ref="E70:G70"/>
    <mergeCell ref="E71:G71"/>
  </mergeCells>
  <conditionalFormatting sqref="C70:C75 F75 I70:I74 E75:E76 I65 I36:I38">
    <cfRule type="cellIs" priority="1" dxfId="0" operator="equal" stopIfTrue="1">
      <formula>0</formula>
    </cfRule>
  </conditionalFormatting>
  <conditionalFormatting sqref="C68">
    <cfRule type="expression" priority="2" dxfId="1" stopIfTrue="1">
      <formula>$C68 = 0</formula>
    </cfRule>
    <cfRule type="cellIs" priority="3" dxfId="0" operator="equal" stopIfTrue="1">
      <formula>0</formula>
    </cfRule>
  </conditionalFormatting>
  <printOptions/>
  <pageMargins left="0" right="0" top="0.393700787401575" bottom="0.590551181102362" header="0.511811023622047" footer="0.511811023622047"/>
  <pageSetup fitToHeight="99" fitToWidth="1" horizontalDpi="300" verticalDpi="300" orientation="portrait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="130" zoomScaleNormal="130" workbookViewId="0" topLeftCell="A1">
      <selection activeCell="N30" sqref="N30"/>
    </sheetView>
  </sheetViews>
  <sheetFormatPr defaultColWidth="11.57421875" defaultRowHeight="15"/>
  <cols>
    <col min="1" max="1" width="7.140625" style="244" customWidth="1"/>
    <col min="2" max="2" width="16.140625" style="244" customWidth="1"/>
    <col min="3" max="3" width="38.421875" style="244" customWidth="1"/>
    <col min="4" max="4" width="6.7109375" style="244" customWidth="1"/>
    <col min="5" max="5" width="8.7109375" style="244" customWidth="1"/>
    <col min="6" max="6" width="8.28125" style="244" customWidth="1"/>
    <col min="7" max="7" width="8.00390625" style="244" customWidth="1"/>
    <col min="8" max="8" width="8.7109375" style="244" customWidth="1"/>
    <col min="9" max="9" width="9.421875" style="244" customWidth="1"/>
    <col min="10" max="10" width="8.421875" style="244" customWidth="1"/>
    <col min="11" max="256" width="8.7109375" style="244" customWidth="1"/>
    <col min="257" max="257" width="7.140625" style="244" customWidth="1"/>
    <col min="258" max="258" width="16.140625" style="244" customWidth="1"/>
    <col min="259" max="259" width="38.421875" style="244" customWidth="1"/>
    <col min="260" max="260" width="6.7109375" style="244" customWidth="1"/>
    <col min="261" max="261" width="8.7109375" style="244" customWidth="1"/>
    <col min="262" max="262" width="8.28125" style="244" customWidth="1"/>
    <col min="263" max="263" width="8.00390625" style="244" customWidth="1"/>
    <col min="264" max="264" width="8.7109375" style="244" customWidth="1"/>
    <col min="265" max="265" width="9.421875" style="244" customWidth="1"/>
    <col min="266" max="266" width="8.421875" style="244" customWidth="1"/>
    <col min="267" max="512" width="8.7109375" style="244" customWidth="1"/>
    <col min="513" max="513" width="7.140625" style="244" customWidth="1"/>
    <col min="514" max="514" width="16.140625" style="244" customWidth="1"/>
    <col min="515" max="515" width="38.421875" style="244" customWidth="1"/>
    <col min="516" max="516" width="6.7109375" style="244" customWidth="1"/>
    <col min="517" max="517" width="8.7109375" style="244" customWidth="1"/>
    <col min="518" max="518" width="8.28125" style="244" customWidth="1"/>
    <col min="519" max="519" width="8.00390625" style="244" customWidth="1"/>
    <col min="520" max="520" width="8.7109375" style="244" customWidth="1"/>
    <col min="521" max="521" width="9.421875" style="244" customWidth="1"/>
    <col min="522" max="522" width="8.421875" style="244" customWidth="1"/>
    <col min="523" max="768" width="8.7109375" style="244" customWidth="1"/>
    <col min="769" max="769" width="7.140625" style="244" customWidth="1"/>
    <col min="770" max="770" width="16.140625" style="244" customWidth="1"/>
    <col min="771" max="771" width="38.421875" style="244" customWidth="1"/>
    <col min="772" max="772" width="6.7109375" style="244" customWidth="1"/>
    <col min="773" max="773" width="8.7109375" style="244" customWidth="1"/>
    <col min="774" max="774" width="8.28125" style="244" customWidth="1"/>
    <col min="775" max="775" width="8.00390625" style="244" customWidth="1"/>
    <col min="776" max="776" width="8.7109375" style="244" customWidth="1"/>
    <col min="777" max="777" width="9.421875" style="244" customWidth="1"/>
    <col min="778" max="778" width="8.421875" style="244" customWidth="1"/>
    <col min="779" max="1024" width="8.7109375" style="244" customWidth="1"/>
    <col min="1025" max="1025" width="7.140625" style="244" customWidth="1"/>
    <col min="1026" max="1026" width="16.140625" style="244" customWidth="1"/>
    <col min="1027" max="1027" width="38.421875" style="244" customWidth="1"/>
    <col min="1028" max="1028" width="6.7109375" style="244" customWidth="1"/>
    <col min="1029" max="1029" width="8.7109375" style="244" customWidth="1"/>
    <col min="1030" max="1030" width="8.28125" style="244" customWidth="1"/>
    <col min="1031" max="1031" width="8.00390625" style="244" customWidth="1"/>
    <col min="1032" max="1032" width="8.7109375" style="244" customWidth="1"/>
    <col min="1033" max="1033" width="9.421875" style="244" customWidth="1"/>
    <col min="1034" max="1034" width="8.421875" style="244" customWidth="1"/>
    <col min="1035" max="1280" width="8.7109375" style="244" customWidth="1"/>
    <col min="1281" max="1281" width="7.140625" style="244" customWidth="1"/>
    <col min="1282" max="1282" width="16.140625" style="244" customWidth="1"/>
    <col min="1283" max="1283" width="38.421875" style="244" customWidth="1"/>
    <col min="1284" max="1284" width="6.7109375" style="244" customWidth="1"/>
    <col min="1285" max="1285" width="8.7109375" style="244" customWidth="1"/>
    <col min="1286" max="1286" width="8.28125" style="244" customWidth="1"/>
    <col min="1287" max="1287" width="8.00390625" style="244" customWidth="1"/>
    <col min="1288" max="1288" width="8.7109375" style="244" customWidth="1"/>
    <col min="1289" max="1289" width="9.421875" style="244" customWidth="1"/>
    <col min="1290" max="1290" width="8.421875" style="244" customWidth="1"/>
    <col min="1291" max="1536" width="8.7109375" style="244" customWidth="1"/>
    <col min="1537" max="1537" width="7.140625" style="244" customWidth="1"/>
    <col min="1538" max="1538" width="16.140625" style="244" customWidth="1"/>
    <col min="1539" max="1539" width="38.421875" style="244" customWidth="1"/>
    <col min="1540" max="1540" width="6.7109375" style="244" customWidth="1"/>
    <col min="1541" max="1541" width="8.7109375" style="244" customWidth="1"/>
    <col min="1542" max="1542" width="8.28125" style="244" customWidth="1"/>
    <col min="1543" max="1543" width="8.00390625" style="244" customWidth="1"/>
    <col min="1544" max="1544" width="8.7109375" style="244" customWidth="1"/>
    <col min="1545" max="1545" width="9.421875" style="244" customWidth="1"/>
    <col min="1546" max="1546" width="8.421875" style="244" customWidth="1"/>
    <col min="1547" max="1792" width="8.7109375" style="244" customWidth="1"/>
    <col min="1793" max="1793" width="7.140625" style="244" customWidth="1"/>
    <col min="1794" max="1794" width="16.140625" style="244" customWidth="1"/>
    <col min="1795" max="1795" width="38.421875" style="244" customWidth="1"/>
    <col min="1796" max="1796" width="6.7109375" style="244" customWidth="1"/>
    <col min="1797" max="1797" width="8.7109375" style="244" customWidth="1"/>
    <col min="1798" max="1798" width="8.28125" style="244" customWidth="1"/>
    <col min="1799" max="1799" width="8.00390625" style="244" customWidth="1"/>
    <col min="1800" max="1800" width="8.7109375" style="244" customWidth="1"/>
    <col min="1801" max="1801" width="9.421875" style="244" customWidth="1"/>
    <col min="1802" max="1802" width="8.421875" style="244" customWidth="1"/>
    <col min="1803" max="2048" width="8.7109375" style="244" customWidth="1"/>
    <col min="2049" max="2049" width="7.140625" style="244" customWidth="1"/>
    <col min="2050" max="2050" width="16.140625" style="244" customWidth="1"/>
    <col min="2051" max="2051" width="38.421875" style="244" customWidth="1"/>
    <col min="2052" max="2052" width="6.7109375" style="244" customWidth="1"/>
    <col min="2053" max="2053" width="8.7109375" style="244" customWidth="1"/>
    <col min="2054" max="2054" width="8.28125" style="244" customWidth="1"/>
    <col min="2055" max="2055" width="8.00390625" style="244" customWidth="1"/>
    <col min="2056" max="2056" width="8.7109375" style="244" customWidth="1"/>
    <col min="2057" max="2057" width="9.421875" style="244" customWidth="1"/>
    <col min="2058" max="2058" width="8.421875" style="244" customWidth="1"/>
    <col min="2059" max="2304" width="8.7109375" style="244" customWidth="1"/>
    <col min="2305" max="2305" width="7.140625" style="244" customWidth="1"/>
    <col min="2306" max="2306" width="16.140625" style="244" customWidth="1"/>
    <col min="2307" max="2307" width="38.421875" style="244" customWidth="1"/>
    <col min="2308" max="2308" width="6.7109375" style="244" customWidth="1"/>
    <col min="2309" max="2309" width="8.7109375" style="244" customWidth="1"/>
    <col min="2310" max="2310" width="8.28125" style="244" customWidth="1"/>
    <col min="2311" max="2311" width="8.00390625" style="244" customWidth="1"/>
    <col min="2312" max="2312" width="8.7109375" style="244" customWidth="1"/>
    <col min="2313" max="2313" width="9.421875" style="244" customWidth="1"/>
    <col min="2314" max="2314" width="8.421875" style="244" customWidth="1"/>
    <col min="2315" max="2560" width="8.7109375" style="244" customWidth="1"/>
    <col min="2561" max="2561" width="7.140625" style="244" customWidth="1"/>
    <col min="2562" max="2562" width="16.140625" style="244" customWidth="1"/>
    <col min="2563" max="2563" width="38.421875" style="244" customWidth="1"/>
    <col min="2564" max="2564" width="6.7109375" style="244" customWidth="1"/>
    <col min="2565" max="2565" width="8.7109375" style="244" customWidth="1"/>
    <col min="2566" max="2566" width="8.28125" style="244" customWidth="1"/>
    <col min="2567" max="2567" width="8.00390625" style="244" customWidth="1"/>
    <col min="2568" max="2568" width="8.7109375" style="244" customWidth="1"/>
    <col min="2569" max="2569" width="9.421875" style="244" customWidth="1"/>
    <col min="2570" max="2570" width="8.421875" style="244" customWidth="1"/>
    <col min="2571" max="2816" width="8.7109375" style="244" customWidth="1"/>
    <col min="2817" max="2817" width="7.140625" style="244" customWidth="1"/>
    <col min="2818" max="2818" width="16.140625" style="244" customWidth="1"/>
    <col min="2819" max="2819" width="38.421875" style="244" customWidth="1"/>
    <col min="2820" max="2820" width="6.7109375" style="244" customWidth="1"/>
    <col min="2821" max="2821" width="8.7109375" style="244" customWidth="1"/>
    <col min="2822" max="2822" width="8.28125" style="244" customWidth="1"/>
    <col min="2823" max="2823" width="8.00390625" style="244" customWidth="1"/>
    <col min="2824" max="2824" width="8.7109375" style="244" customWidth="1"/>
    <col min="2825" max="2825" width="9.421875" style="244" customWidth="1"/>
    <col min="2826" max="2826" width="8.421875" style="244" customWidth="1"/>
    <col min="2827" max="3072" width="8.7109375" style="244" customWidth="1"/>
    <col min="3073" max="3073" width="7.140625" style="244" customWidth="1"/>
    <col min="3074" max="3074" width="16.140625" style="244" customWidth="1"/>
    <col min="3075" max="3075" width="38.421875" style="244" customWidth="1"/>
    <col min="3076" max="3076" width="6.7109375" style="244" customWidth="1"/>
    <col min="3077" max="3077" width="8.7109375" style="244" customWidth="1"/>
    <col min="3078" max="3078" width="8.28125" style="244" customWidth="1"/>
    <col min="3079" max="3079" width="8.00390625" style="244" customWidth="1"/>
    <col min="3080" max="3080" width="8.7109375" style="244" customWidth="1"/>
    <col min="3081" max="3081" width="9.421875" style="244" customWidth="1"/>
    <col min="3082" max="3082" width="8.421875" style="244" customWidth="1"/>
    <col min="3083" max="3328" width="8.7109375" style="244" customWidth="1"/>
    <col min="3329" max="3329" width="7.140625" style="244" customWidth="1"/>
    <col min="3330" max="3330" width="16.140625" style="244" customWidth="1"/>
    <col min="3331" max="3331" width="38.421875" style="244" customWidth="1"/>
    <col min="3332" max="3332" width="6.7109375" style="244" customWidth="1"/>
    <col min="3333" max="3333" width="8.7109375" style="244" customWidth="1"/>
    <col min="3334" max="3334" width="8.28125" style="244" customWidth="1"/>
    <col min="3335" max="3335" width="8.00390625" style="244" customWidth="1"/>
    <col min="3336" max="3336" width="8.7109375" style="244" customWidth="1"/>
    <col min="3337" max="3337" width="9.421875" style="244" customWidth="1"/>
    <col min="3338" max="3338" width="8.421875" style="244" customWidth="1"/>
    <col min="3339" max="3584" width="8.7109375" style="244" customWidth="1"/>
    <col min="3585" max="3585" width="7.140625" style="244" customWidth="1"/>
    <col min="3586" max="3586" width="16.140625" style="244" customWidth="1"/>
    <col min="3587" max="3587" width="38.421875" style="244" customWidth="1"/>
    <col min="3588" max="3588" width="6.7109375" style="244" customWidth="1"/>
    <col min="3589" max="3589" width="8.7109375" style="244" customWidth="1"/>
    <col min="3590" max="3590" width="8.28125" style="244" customWidth="1"/>
    <col min="3591" max="3591" width="8.00390625" style="244" customWidth="1"/>
    <col min="3592" max="3592" width="8.7109375" style="244" customWidth="1"/>
    <col min="3593" max="3593" width="9.421875" style="244" customWidth="1"/>
    <col min="3594" max="3594" width="8.421875" style="244" customWidth="1"/>
    <col min="3595" max="3840" width="8.7109375" style="244" customWidth="1"/>
    <col min="3841" max="3841" width="7.140625" style="244" customWidth="1"/>
    <col min="3842" max="3842" width="16.140625" style="244" customWidth="1"/>
    <col min="3843" max="3843" width="38.421875" style="244" customWidth="1"/>
    <col min="3844" max="3844" width="6.7109375" style="244" customWidth="1"/>
    <col min="3845" max="3845" width="8.7109375" style="244" customWidth="1"/>
    <col min="3846" max="3846" width="8.28125" style="244" customWidth="1"/>
    <col min="3847" max="3847" width="8.00390625" style="244" customWidth="1"/>
    <col min="3848" max="3848" width="8.7109375" style="244" customWidth="1"/>
    <col min="3849" max="3849" width="9.421875" style="244" customWidth="1"/>
    <col min="3850" max="3850" width="8.421875" style="244" customWidth="1"/>
    <col min="3851" max="4096" width="8.7109375" style="244" customWidth="1"/>
    <col min="4097" max="4097" width="7.140625" style="244" customWidth="1"/>
    <col min="4098" max="4098" width="16.140625" style="244" customWidth="1"/>
    <col min="4099" max="4099" width="38.421875" style="244" customWidth="1"/>
    <col min="4100" max="4100" width="6.7109375" style="244" customWidth="1"/>
    <col min="4101" max="4101" width="8.7109375" style="244" customWidth="1"/>
    <col min="4102" max="4102" width="8.28125" style="244" customWidth="1"/>
    <col min="4103" max="4103" width="8.00390625" style="244" customWidth="1"/>
    <col min="4104" max="4104" width="8.7109375" style="244" customWidth="1"/>
    <col min="4105" max="4105" width="9.421875" style="244" customWidth="1"/>
    <col min="4106" max="4106" width="8.421875" style="244" customWidth="1"/>
    <col min="4107" max="4352" width="8.7109375" style="244" customWidth="1"/>
    <col min="4353" max="4353" width="7.140625" style="244" customWidth="1"/>
    <col min="4354" max="4354" width="16.140625" style="244" customWidth="1"/>
    <col min="4355" max="4355" width="38.421875" style="244" customWidth="1"/>
    <col min="4356" max="4356" width="6.7109375" style="244" customWidth="1"/>
    <col min="4357" max="4357" width="8.7109375" style="244" customWidth="1"/>
    <col min="4358" max="4358" width="8.28125" style="244" customWidth="1"/>
    <col min="4359" max="4359" width="8.00390625" style="244" customWidth="1"/>
    <col min="4360" max="4360" width="8.7109375" style="244" customWidth="1"/>
    <col min="4361" max="4361" width="9.421875" style="244" customWidth="1"/>
    <col min="4362" max="4362" width="8.421875" style="244" customWidth="1"/>
    <col min="4363" max="4608" width="8.7109375" style="244" customWidth="1"/>
    <col min="4609" max="4609" width="7.140625" style="244" customWidth="1"/>
    <col min="4610" max="4610" width="16.140625" style="244" customWidth="1"/>
    <col min="4611" max="4611" width="38.421875" style="244" customWidth="1"/>
    <col min="4612" max="4612" width="6.7109375" style="244" customWidth="1"/>
    <col min="4613" max="4613" width="8.7109375" style="244" customWidth="1"/>
    <col min="4614" max="4614" width="8.28125" style="244" customWidth="1"/>
    <col min="4615" max="4615" width="8.00390625" style="244" customWidth="1"/>
    <col min="4616" max="4616" width="8.7109375" style="244" customWidth="1"/>
    <col min="4617" max="4617" width="9.421875" style="244" customWidth="1"/>
    <col min="4618" max="4618" width="8.421875" style="244" customWidth="1"/>
    <col min="4619" max="4864" width="8.7109375" style="244" customWidth="1"/>
    <col min="4865" max="4865" width="7.140625" style="244" customWidth="1"/>
    <col min="4866" max="4866" width="16.140625" style="244" customWidth="1"/>
    <col min="4867" max="4867" width="38.421875" style="244" customWidth="1"/>
    <col min="4868" max="4868" width="6.7109375" style="244" customWidth="1"/>
    <col min="4869" max="4869" width="8.7109375" style="244" customWidth="1"/>
    <col min="4870" max="4870" width="8.28125" style="244" customWidth="1"/>
    <col min="4871" max="4871" width="8.00390625" style="244" customWidth="1"/>
    <col min="4872" max="4872" width="8.7109375" style="244" customWidth="1"/>
    <col min="4873" max="4873" width="9.421875" style="244" customWidth="1"/>
    <col min="4874" max="4874" width="8.421875" style="244" customWidth="1"/>
    <col min="4875" max="5120" width="8.7109375" style="244" customWidth="1"/>
    <col min="5121" max="5121" width="7.140625" style="244" customWidth="1"/>
    <col min="5122" max="5122" width="16.140625" style="244" customWidth="1"/>
    <col min="5123" max="5123" width="38.421875" style="244" customWidth="1"/>
    <col min="5124" max="5124" width="6.7109375" style="244" customWidth="1"/>
    <col min="5125" max="5125" width="8.7109375" style="244" customWidth="1"/>
    <col min="5126" max="5126" width="8.28125" style="244" customWidth="1"/>
    <col min="5127" max="5127" width="8.00390625" style="244" customWidth="1"/>
    <col min="5128" max="5128" width="8.7109375" style="244" customWidth="1"/>
    <col min="5129" max="5129" width="9.421875" style="244" customWidth="1"/>
    <col min="5130" max="5130" width="8.421875" style="244" customWidth="1"/>
    <col min="5131" max="5376" width="8.7109375" style="244" customWidth="1"/>
    <col min="5377" max="5377" width="7.140625" style="244" customWidth="1"/>
    <col min="5378" max="5378" width="16.140625" style="244" customWidth="1"/>
    <col min="5379" max="5379" width="38.421875" style="244" customWidth="1"/>
    <col min="5380" max="5380" width="6.7109375" style="244" customWidth="1"/>
    <col min="5381" max="5381" width="8.7109375" style="244" customWidth="1"/>
    <col min="5382" max="5382" width="8.28125" style="244" customWidth="1"/>
    <col min="5383" max="5383" width="8.00390625" style="244" customWidth="1"/>
    <col min="5384" max="5384" width="8.7109375" style="244" customWidth="1"/>
    <col min="5385" max="5385" width="9.421875" style="244" customWidth="1"/>
    <col min="5386" max="5386" width="8.421875" style="244" customWidth="1"/>
    <col min="5387" max="5632" width="8.7109375" style="244" customWidth="1"/>
    <col min="5633" max="5633" width="7.140625" style="244" customWidth="1"/>
    <col min="5634" max="5634" width="16.140625" style="244" customWidth="1"/>
    <col min="5635" max="5635" width="38.421875" style="244" customWidth="1"/>
    <col min="5636" max="5636" width="6.7109375" style="244" customWidth="1"/>
    <col min="5637" max="5637" width="8.7109375" style="244" customWidth="1"/>
    <col min="5638" max="5638" width="8.28125" style="244" customWidth="1"/>
    <col min="5639" max="5639" width="8.00390625" style="244" customWidth="1"/>
    <col min="5640" max="5640" width="8.7109375" style="244" customWidth="1"/>
    <col min="5641" max="5641" width="9.421875" style="244" customWidth="1"/>
    <col min="5642" max="5642" width="8.421875" style="244" customWidth="1"/>
    <col min="5643" max="5888" width="8.7109375" style="244" customWidth="1"/>
    <col min="5889" max="5889" width="7.140625" style="244" customWidth="1"/>
    <col min="5890" max="5890" width="16.140625" style="244" customWidth="1"/>
    <col min="5891" max="5891" width="38.421875" style="244" customWidth="1"/>
    <col min="5892" max="5892" width="6.7109375" style="244" customWidth="1"/>
    <col min="5893" max="5893" width="8.7109375" style="244" customWidth="1"/>
    <col min="5894" max="5894" width="8.28125" style="244" customWidth="1"/>
    <col min="5895" max="5895" width="8.00390625" style="244" customWidth="1"/>
    <col min="5896" max="5896" width="8.7109375" style="244" customWidth="1"/>
    <col min="5897" max="5897" width="9.421875" style="244" customWidth="1"/>
    <col min="5898" max="5898" width="8.421875" style="244" customWidth="1"/>
    <col min="5899" max="6144" width="8.7109375" style="244" customWidth="1"/>
    <col min="6145" max="6145" width="7.140625" style="244" customWidth="1"/>
    <col min="6146" max="6146" width="16.140625" style="244" customWidth="1"/>
    <col min="6147" max="6147" width="38.421875" style="244" customWidth="1"/>
    <col min="6148" max="6148" width="6.7109375" style="244" customWidth="1"/>
    <col min="6149" max="6149" width="8.7109375" style="244" customWidth="1"/>
    <col min="6150" max="6150" width="8.28125" style="244" customWidth="1"/>
    <col min="6151" max="6151" width="8.00390625" style="244" customWidth="1"/>
    <col min="6152" max="6152" width="8.7109375" style="244" customWidth="1"/>
    <col min="6153" max="6153" width="9.421875" style="244" customWidth="1"/>
    <col min="6154" max="6154" width="8.421875" style="244" customWidth="1"/>
    <col min="6155" max="6400" width="8.7109375" style="244" customWidth="1"/>
    <col min="6401" max="6401" width="7.140625" style="244" customWidth="1"/>
    <col min="6402" max="6402" width="16.140625" style="244" customWidth="1"/>
    <col min="6403" max="6403" width="38.421875" style="244" customWidth="1"/>
    <col min="6404" max="6404" width="6.7109375" style="244" customWidth="1"/>
    <col min="6405" max="6405" width="8.7109375" style="244" customWidth="1"/>
    <col min="6406" max="6406" width="8.28125" style="244" customWidth="1"/>
    <col min="6407" max="6407" width="8.00390625" style="244" customWidth="1"/>
    <col min="6408" max="6408" width="8.7109375" style="244" customWidth="1"/>
    <col min="6409" max="6409" width="9.421875" style="244" customWidth="1"/>
    <col min="6410" max="6410" width="8.421875" style="244" customWidth="1"/>
    <col min="6411" max="6656" width="8.7109375" style="244" customWidth="1"/>
    <col min="6657" max="6657" width="7.140625" style="244" customWidth="1"/>
    <col min="6658" max="6658" width="16.140625" style="244" customWidth="1"/>
    <col min="6659" max="6659" width="38.421875" style="244" customWidth="1"/>
    <col min="6660" max="6660" width="6.7109375" style="244" customWidth="1"/>
    <col min="6661" max="6661" width="8.7109375" style="244" customWidth="1"/>
    <col min="6662" max="6662" width="8.28125" style="244" customWidth="1"/>
    <col min="6663" max="6663" width="8.00390625" style="244" customWidth="1"/>
    <col min="6664" max="6664" width="8.7109375" style="244" customWidth="1"/>
    <col min="6665" max="6665" width="9.421875" style="244" customWidth="1"/>
    <col min="6666" max="6666" width="8.421875" style="244" customWidth="1"/>
    <col min="6667" max="6912" width="8.7109375" style="244" customWidth="1"/>
    <col min="6913" max="6913" width="7.140625" style="244" customWidth="1"/>
    <col min="6914" max="6914" width="16.140625" style="244" customWidth="1"/>
    <col min="6915" max="6915" width="38.421875" style="244" customWidth="1"/>
    <col min="6916" max="6916" width="6.7109375" style="244" customWidth="1"/>
    <col min="6917" max="6917" width="8.7109375" style="244" customWidth="1"/>
    <col min="6918" max="6918" width="8.28125" style="244" customWidth="1"/>
    <col min="6919" max="6919" width="8.00390625" style="244" customWidth="1"/>
    <col min="6920" max="6920" width="8.7109375" style="244" customWidth="1"/>
    <col min="6921" max="6921" width="9.421875" style="244" customWidth="1"/>
    <col min="6922" max="6922" width="8.421875" style="244" customWidth="1"/>
    <col min="6923" max="7168" width="8.7109375" style="244" customWidth="1"/>
    <col min="7169" max="7169" width="7.140625" style="244" customWidth="1"/>
    <col min="7170" max="7170" width="16.140625" style="244" customWidth="1"/>
    <col min="7171" max="7171" width="38.421875" style="244" customWidth="1"/>
    <col min="7172" max="7172" width="6.7109375" style="244" customWidth="1"/>
    <col min="7173" max="7173" width="8.7109375" style="244" customWidth="1"/>
    <col min="7174" max="7174" width="8.28125" style="244" customWidth="1"/>
    <col min="7175" max="7175" width="8.00390625" style="244" customWidth="1"/>
    <col min="7176" max="7176" width="8.7109375" style="244" customWidth="1"/>
    <col min="7177" max="7177" width="9.421875" style="244" customWidth="1"/>
    <col min="7178" max="7178" width="8.421875" style="244" customWidth="1"/>
    <col min="7179" max="7424" width="8.7109375" style="244" customWidth="1"/>
    <col min="7425" max="7425" width="7.140625" style="244" customWidth="1"/>
    <col min="7426" max="7426" width="16.140625" style="244" customWidth="1"/>
    <col min="7427" max="7427" width="38.421875" style="244" customWidth="1"/>
    <col min="7428" max="7428" width="6.7109375" style="244" customWidth="1"/>
    <col min="7429" max="7429" width="8.7109375" style="244" customWidth="1"/>
    <col min="7430" max="7430" width="8.28125" style="244" customWidth="1"/>
    <col min="7431" max="7431" width="8.00390625" style="244" customWidth="1"/>
    <col min="7432" max="7432" width="8.7109375" style="244" customWidth="1"/>
    <col min="7433" max="7433" width="9.421875" style="244" customWidth="1"/>
    <col min="7434" max="7434" width="8.421875" style="244" customWidth="1"/>
    <col min="7435" max="7680" width="8.7109375" style="244" customWidth="1"/>
    <col min="7681" max="7681" width="7.140625" style="244" customWidth="1"/>
    <col min="7682" max="7682" width="16.140625" style="244" customWidth="1"/>
    <col min="7683" max="7683" width="38.421875" style="244" customWidth="1"/>
    <col min="7684" max="7684" width="6.7109375" style="244" customWidth="1"/>
    <col min="7685" max="7685" width="8.7109375" style="244" customWidth="1"/>
    <col min="7686" max="7686" width="8.28125" style="244" customWidth="1"/>
    <col min="7687" max="7687" width="8.00390625" style="244" customWidth="1"/>
    <col min="7688" max="7688" width="8.7109375" style="244" customWidth="1"/>
    <col min="7689" max="7689" width="9.421875" style="244" customWidth="1"/>
    <col min="7690" max="7690" width="8.421875" style="244" customWidth="1"/>
    <col min="7691" max="7936" width="8.7109375" style="244" customWidth="1"/>
    <col min="7937" max="7937" width="7.140625" style="244" customWidth="1"/>
    <col min="7938" max="7938" width="16.140625" style="244" customWidth="1"/>
    <col min="7939" max="7939" width="38.421875" style="244" customWidth="1"/>
    <col min="7940" max="7940" width="6.7109375" style="244" customWidth="1"/>
    <col min="7941" max="7941" width="8.7109375" style="244" customWidth="1"/>
    <col min="7942" max="7942" width="8.28125" style="244" customWidth="1"/>
    <col min="7943" max="7943" width="8.00390625" style="244" customWidth="1"/>
    <col min="7944" max="7944" width="8.7109375" style="244" customWidth="1"/>
    <col min="7945" max="7945" width="9.421875" style="244" customWidth="1"/>
    <col min="7946" max="7946" width="8.421875" style="244" customWidth="1"/>
    <col min="7947" max="8192" width="8.7109375" style="244" customWidth="1"/>
    <col min="8193" max="8193" width="7.140625" style="244" customWidth="1"/>
    <col min="8194" max="8194" width="16.140625" style="244" customWidth="1"/>
    <col min="8195" max="8195" width="38.421875" style="244" customWidth="1"/>
    <col min="8196" max="8196" width="6.7109375" style="244" customWidth="1"/>
    <col min="8197" max="8197" width="8.7109375" style="244" customWidth="1"/>
    <col min="8198" max="8198" width="8.28125" style="244" customWidth="1"/>
    <col min="8199" max="8199" width="8.00390625" style="244" customWidth="1"/>
    <col min="8200" max="8200" width="8.7109375" style="244" customWidth="1"/>
    <col min="8201" max="8201" width="9.421875" style="244" customWidth="1"/>
    <col min="8202" max="8202" width="8.421875" style="244" customWidth="1"/>
    <col min="8203" max="8448" width="8.7109375" style="244" customWidth="1"/>
    <col min="8449" max="8449" width="7.140625" style="244" customWidth="1"/>
    <col min="8450" max="8450" width="16.140625" style="244" customWidth="1"/>
    <col min="8451" max="8451" width="38.421875" style="244" customWidth="1"/>
    <col min="8452" max="8452" width="6.7109375" style="244" customWidth="1"/>
    <col min="8453" max="8453" width="8.7109375" style="244" customWidth="1"/>
    <col min="8454" max="8454" width="8.28125" style="244" customWidth="1"/>
    <col min="8455" max="8455" width="8.00390625" style="244" customWidth="1"/>
    <col min="8456" max="8456" width="8.7109375" style="244" customWidth="1"/>
    <col min="8457" max="8457" width="9.421875" style="244" customWidth="1"/>
    <col min="8458" max="8458" width="8.421875" style="244" customWidth="1"/>
    <col min="8459" max="8704" width="8.7109375" style="244" customWidth="1"/>
    <col min="8705" max="8705" width="7.140625" style="244" customWidth="1"/>
    <col min="8706" max="8706" width="16.140625" style="244" customWidth="1"/>
    <col min="8707" max="8707" width="38.421875" style="244" customWidth="1"/>
    <col min="8708" max="8708" width="6.7109375" style="244" customWidth="1"/>
    <col min="8709" max="8709" width="8.7109375" style="244" customWidth="1"/>
    <col min="8710" max="8710" width="8.28125" style="244" customWidth="1"/>
    <col min="8711" max="8711" width="8.00390625" style="244" customWidth="1"/>
    <col min="8712" max="8712" width="8.7109375" style="244" customWidth="1"/>
    <col min="8713" max="8713" width="9.421875" style="244" customWidth="1"/>
    <col min="8714" max="8714" width="8.421875" style="244" customWidth="1"/>
    <col min="8715" max="8960" width="8.7109375" style="244" customWidth="1"/>
    <col min="8961" max="8961" width="7.140625" style="244" customWidth="1"/>
    <col min="8962" max="8962" width="16.140625" style="244" customWidth="1"/>
    <col min="8963" max="8963" width="38.421875" style="244" customWidth="1"/>
    <col min="8964" max="8964" width="6.7109375" style="244" customWidth="1"/>
    <col min="8965" max="8965" width="8.7109375" style="244" customWidth="1"/>
    <col min="8966" max="8966" width="8.28125" style="244" customWidth="1"/>
    <col min="8967" max="8967" width="8.00390625" style="244" customWidth="1"/>
    <col min="8968" max="8968" width="8.7109375" style="244" customWidth="1"/>
    <col min="8969" max="8969" width="9.421875" style="244" customWidth="1"/>
    <col min="8970" max="8970" width="8.421875" style="244" customWidth="1"/>
    <col min="8971" max="9216" width="8.7109375" style="244" customWidth="1"/>
    <col min="9217" max="9217" width="7.140625" style="244" customWidth="1"/>
    <col min="9218" max="9218" width="16.140625" style="244" customWidth="1"/>
    <col min="9219" max="9219" width="38.421875" style="244" customWidth="1"/>
    <col min="9220" max="9220" width="6.7109375" style="244" customWidth="1"/>
    <col min="9221" max="9221" width="8.7109375" style="244" customWidth="1"/>
    <col min="9222" max="9222" width="8.28125" style="244" customWidth="1"/>
    <col min="9223" max="9223" width="8.00390625" style="244" customWidth="1"/>
    <col min="9224" max="9224" width="8.7109375" style="244" customWidth="1"/>
    <col min="9225" max="9225" width="9.421875" style="244" customWidth="1"/>
    <col min="9226" max="9226" width="8.421875" style="244" customWidth="1"/>
    <col min="9227" max="9472" width="8.7109375" style="244" customWidth="1"/>
    <col min="9473" max="9473" width="7.140625" style="244" customWidth="1"/>
    <col min="9474" max="9474" width="16.140625" style="244" customWidth="1"/>
    <col min="9475" max="9475" width="38.421875" style="244" customWidth="1"/>
    <col min="9476" max="9476" width="6.7109375" style="244" customWidth="1"/>
    <col min="9477" max="9477" width="8.7109375" style="244" customWidth="1"/>
    <col min="9478" max="9478" width="8.28125" style="244" customWidth="1"/>
    <col min="9479" max="9479" width="8.00390625" style="244" customWidth="1"/>
    <col min="9480" max="9480" width="8.7109375" style="244" customWidth="1"/>
    <col min="9481" max="9481" width="9.421875" style="244" customWidth="1"/>
    <col min="9482" max="9482" width="8.421875" style="244" customWidth="1"/>
    <col min="9483" max="9728" width="8.7109375" style="244" customWidth="1"/>
    <col min="9729" max="9729" width="7.140625" style="244" customWidth="1"/>
    <col min="9730" max="9730" width="16.140625" style="244" customWidth="1"/>
    <col min="9731" max="9731" width="38.421875" style="244" customWidth="1"/>
    <col min="9732" max="9732" width="6.7109375" style="244" customWidth="1"/>
    <col min="9733" max="9733" width="8.7109375" style="244" customWidth="1"/>
    <col min="9734" max="9734" width="8.28125" style="244" customWidth="1"/>
    <col min="9735" max="9735" width="8.00390625" style="244" customWidth="1"/>
    <col min="9736" max="9736" width="8.7109375" style="244" customWidth="1"/>
    <col min="9737" max="9737" width="9.421875" style="244" customWidth="1"/>
    <col min="9738" max="9738" width="8.421875" style="244" customWidth="1"/>
    <col min="9739" max="9984" width="8.7109375" style="244" customWidth="1"/>
    <col min="9985" max="9985" width="7.140625" style="244" customWidth="1"/>
    <col min="9986" max="9986" width="16.140625" style="244" customWidth="1"/>
    <col min="9987" max="9987" width="38.421875" style="244" customWidth="1"/>
    <col min="9988" max="9988" width="6.7109375" style="244" customWidth="1"/>
    <col min="9989" max="9989" width="8.7109375" style="244" customWidth="1"/>
    <col min="9990" max="9990" width="8.28125" style="244" customWidth="1"/>
    <col min="9991" max="9991" width="8.00390625" style="244" customWidth="1"/>
    <col min="9992" max="9992" width="8.7109375" style="244" customWidth="1"/>
    <col min="9993" max="9993" width="9.421875" style="244" customWidth="1"/>
    <col min="9994" max="9994" width="8.421875" style="244" customWidth="1"/>
    <col min="9995" max="10240" width="8.7109375" style="244" customWidth="1"/>
    <col min="10241" max="10241" width="7.140625" style="244" customWidth="1"/>
    <col min="10242" max="10242" width="16.140625" style="244" customWidth="1"/>
    <col min="10243" max="10243" width="38.421875" style="244" customWidth="1"/>
    <col min="10244" max="10244" width="6.7109375" style="244" customWidth="1"/>
    <col min="10245" max="10245" width="8.7109375" style="244" customWidth="1"/>
    <col min="10246" max="10246" width="8.28125" style="244" customWidth="1"/>
    <col min="10247" max="10247" width="8.00390625" style="244" customWidth="1"/>
    <col min="10248" max="10248" width="8.7109375" style="244" customWidth="1"/>
    <col min="10249" max="10249" width="9.421875" style="244" customWidth="1"/>
    <col min="10250" max="10250" width="8.421875" style="244" customWidth="1"/>
    <col min="10251" max="10496" width="8.7109375" style="244" customWidth="1"/>
    <col min="10497" max="10497" width="7.140625" style="244" customWidth="1"/>
    <col min="10498" max="10498" width="16.140625" style="244" customWidth="1"/>
    <col min="10499" max="10499" width="38.421875" style="244" customWidth="1"/>
    <col min="10500" max="10500" width="6.7109375" style="244" customWidth="1"/>
    <col min="10501" max="10501" width="8.7109375" style="244" customWidth="1"/>
    <col min="10502" max="10502" width="8.28125" style="244" customWidth="1"/>
    <col min="10503" max="10503" width="8.00390625" style="244" customWidth="1"/>
    <col min="10504" max="10504" width="8.7109375" style="244" customWidth="1"/>
    <col min="10505" max="10505" width="9.421875" style="244" customWidth="1"/>
    <col min="10506" max="10506" width="8.421875" style="244" customWidth="1"/>
    <col min="10507" max="10752" width="8.7109375" style="244" customWidth="1"/>
    <col min="10753" max="10753" width="7.140625" style="244" customWidth="1"/>
    <col min="10754" max="10754" width="16.140625" style="244" customWidth="1"/>
    <col min="10755" max="10755" width="38.421875" style="244" customWidth="1"/>
    <col min="10756" max="10756" width="6.7109375" style="244" customWidth="1"/>
    <col min="10757" max="10757" width="8.7109375" style="244" customWidth="1"/>
    <col min="10758" max="10758" width="8.28125" style="244" customWidth="1"/>
    <col min="10759" max="10759" width="8.00390625" style="244" customWidth="1"/>
    <col min="10760" max="10760" width="8.7109375" style="244" customWidth="1"/>
    <col min="10761" max="10761" width="9.421875" style="244" customWidth="1"/>
    <col min="10762" max="10762" width="8.421875" style="244" customWidth="1"/>
    <col min="10763" max="11008" width="8.7109375" style="244" customWidth="1"/>
    <col min="11009" max="11009" width="7.140625" style="244" customWidth="1"/>
    <col min="11010" max="11010" width="16.140625" style="244" customWidth="1"/>
    <col min="11011" max="11011" width="38.421875" style="244" customWidth="1"/>
    <col min="11012" max="11012" width="6.7109375" style="244" customWidth="1"/>
    <col min="11013" max="11013" width="8.7109375" style="244" customWidth="1"/>
    <col min="11014" max="11014" width="8.28125" style="244" customWidth="1"/>
    <col min="11015" max="11015" width="8.00390625" style="244" customWidth="1"/>
    <col min="11016" max="11016" width="8.7109375" style="244" customWidth="1"/>
    <col min="11017" max="11017" width="9.421875" style="244" customWidth="1"/>
    <col min="11018" max="11018" width="8.421875" style="244" customWidth="1"/>
    <col min="11019" max="11264" width="8.7109375" style="244" customWidth="1"/>
    <col min="11265" max="11265" width="7.140625" style="244" customWidth="1"/>
    <col min="11266" max="11266" width="16.140625" style="244" customWidth="1"/>
    <col min="11267" max="11267" width="38.421875" style="244" customWidth="1"/>
    <col min="11268" max="11268" width="6.7109375" style="244" customWidth="1"/>
    <col min="11269" max="11269" width="8.7109375" style="244" customWidth="1"/>
    <col min="11270" max="11270" width="8.28125" style="244" customWidth="1"/>
    <col min="11271" max="11271" width="8.00390625" style="244" customWidth="1"/>
    <col min="11272" max="11272" width="8.7109375" style="244" customWidth="1"/>
    <col min="11273" max="11273" width="9.421875" style="244" customWidth="1"/>
    <col min="11274" max="11274" width="8.421875" style="244" customWidth="1"/>
    <col min="11275" max="11520" width="8.7109375" style="244" customWidth="1"/>
    <col min="11521" max="11521" width="7.140625" style="244" customWidth="1"/>
    <col min="11522" max="11522" width="16.140625" style="244" customWidth="1"/>
    <col min="11523" max="11523" width="38.421875" style="244" customWidth="1"/>
    <col min="11524" max="11524" width="6.7109375" style="244" customWidth="1"/>
    <col min="11525" max="11525" width="8.7109375" style="244" customWidth="1"/>
    <col min="11526" max="11526" width="8.28125" style="244" customWidth="1"/>
    <col min="11527" max="11527" width="8.00390625" style="244" customWidth="1"/>
    <col min="11528" max="11528" width="8.7109375" style="244" customWidth="1"/>
    <col min="11529" max="11529" width="9.421875" style="244" customWidth="1"/>
    <col min="11530" max="11530" width="8.421875" style="244" customWidth="1"/>
    <col min="11531" max="11776" width="8.7109375" style="244" customWidth="1"/>
    <col min="11777" max="11777" width="7.140625" style="244" customWidth="1"/>
    <col min="11778" max="11778" width="16.140625" style="244" customWidth="1"/>
    <col min="11779" max="11779" width="38.421875" style="244" customWidth="1"/>
    <col min="11780" max="11780" width="6.7109375" style="244" customWidth="1"/>
    <col min="11781" max="11781" width="8.7109375" style="244" customWidth="1"/>
    <col min="11782" max="11782" width="8.28125" style="244" customWidth="1"/>
    <col min="11783" max="11783" width="8.00390625" style="244" customWidth="1"/>
    <col min="11784" max="11784" width="8.7109375" style="244" customWidth="1"/>
    <col min="11785" max="11785" width="9.421875" style="244" customWidth="1"/>
    <col min="11786" max="11786" width="8.421875" style="244" customWidth="1"/>
    <col min="11787" max="12032" width="8.7109375" style="244" customWidth="1"/>
    <col min="12033" max="12033" width="7.140625" style="244" customWidth="1"/>
    <col min="12034" max="12034" width="16.140625" style="244" customWidth="1"/>
    <col min="12035" max="12035" width="38.421875" style="244" customWidth="1"/>
    <col min="12036" max="12036" width="6.7109375" style="244" customWidth="1"/>
    <col min="12037" max="12037" width="8.7109375" style="244" customWidth="1"/>
    <col min="12038" max="12038" width="8.28125" style="244" customWidth="1"/>
    <col min="12039" max="12039" width="8.00390625" style="244" customWidth="1"/>
    <col min="12040" max="12040" width="8.7109375" style="244" customWidth="1"/>
    <col min="12041" max="12041" width="9.421875" style="244" customWidth="1"/>
    <col min="12042" max="12042" width="8.421875" style="244" customWidth="1"/>
    <col min="12043" max="12288" width="8.7109375" style="244" customWidth="1"/>
    <col min="12289" max="12289" width="7.140625" style="244" customWidth="1"/>
    <col min="12290" max="12290" width="16.140625" style="244" customWidth="1"/>
    <col min="12291" max="12291" width="38.421875" style="244" customWidth="1"/>
    <col min="12292" max="12292" width="6.7109375" style="244" customWidth="1"/>
    <col min="12293" max="12293" width="8.7109375" style="244" customWidth="1"/>
    <col min="12294" max="12294" width="8.28125" style="244" customWidth="1"/>
    <col min="12295" max="12295" width="8.00390625" style="244" customWidth="1"/>
    <col min="12296" max="12296" width="8.7109375" style="244" customWidth="1"/>
    <col min="12297" max="12297" width="9.421875" style="244" customWidth="1"/>
    <col min="12298" max="12298" width="8.421875" style="244" customWidth="1"/>
    <col min="12299" max="12544" width="8.7109375" style="244" customWidth="1"/>
    <col min="12545" max="12545" width="7.140625" style="244" customWidth="1"/>
    <col min="12546" max="12546" width="16.140625" style="244" customWidth="1"/>
    <col min="12547" max="12547" width="38.421875" style="244" customWidth="1"/>
    <col min="12548" max="12548" width="6.7109375" style="244" customWidth="1"/>
    <col min="12549" max="12549" width="8.7109375" style="244" customWidth="1"/>
    <col min="12550" max="12550" width="8.28125" style="244" customWidth="1"/>
    <col min="12551" max="12551" width="8.00390625" style="244" customWidth="1"/>
    <col min="12552" max="12552" width="8.7109375" style="244" customWidth="1"/>
    <col min="12553" max="12553" width="9.421875" style="244" customWidth="1"/>
    <col min="12554" max="12554" width="8.421875" style="244" customWidth="1"/>
    <col min="12555" max="12800" width="8.7109375" style="244" customWidth="1"/>
    <col min="12801" max="12801" width="7.140625" style="244" customWidth="1"/>
    <col min="12802" max="12802" width="16.140625" style="244" customWidth="1"/>
    <col min="12803" max="12803" width="38.421875" style="244" customWidth="1"/>
    <col min="12804" max="12804" width="6.7109375" style="244" customWidth="1"/>
    <col min="12805" max="12805" width="8.7109375" style="244" customWidth="1"/>
    <col min="12806" max="12806" width="8.28125" style="244" customWidth="1"/>
    <col min="12807" max="12807" width="8.00390625" style="244" customWidth="1"/>
    <col min="12808" max="12808" width="8.7109375" style="244" customWidth="1"/>
    <col min="12809" max="12809" width="9.421875" style="244" customWidth="1"/>
    <col min="12810" max="12810" width="8.421875" style="244" customWidth="1"/>
    <col min="12811" max="13056" width="8.7109375" style="244" customWidth="1"/>
    <col min="13057" max="13057" width="7.140625" style="244" customWidth="1"/>
    <col min="13058" max="13058" width="16.140625" style="244" customWidth="1"/>
    <col min="13059" max="13059" width="38.421875" style="244" customWidth="1"/>
    <col min="13060" max="13060" width="6.7109375" style="244" customWidth="1"/>
    <col min="13061" max="13061" width="8.7109375" style="244" customWidth="1"/>
    <col min="13062" max="13062" width="8.28125" style="244" customWidth="1"/>
    <col min="13063" max="13063" width="8.00390625" style="244" customWidth="1"/>
    <col min="13064" max="13064" width="8.7109375" style="244" customWidth="1"/>
    <col min="13065" max="13065" width="9.421875" style="244" customWidth="1"/>
    <col min="13066" max="13066" width="8.421875" style="244" customWidth="1"/>
    <col min="13067" max="13312" width="8.7109375" style="244" customWidth="1"/>
    <col min="13313" max="13313" width="7.140625" style="244" customWidth="1"/>
    <col min="13314" max="13314" width="16.140625" style="244" customWidth="1"/>
    <col min="13315" max="13315" width="38.421875" style="244" customWidth="1"/>
    <col min="13316" max="13316" width="6.7109375" style="244" customWidth="1"/>
    <col min="13317" max="13317" width="8.7109375" style="244" customWidth="1"/>
    <col min="13318" max="13318" width="8.28125" style="244" customWidth="1"/>
    <col min="13319" max="13319" width="8.00390625" style="244" customWidth="1"/>
    <col min="13320" max="13320" width="8.7109375" style="244" customWidth="1"/>
    <col min="13321" max="13321" width="9.421875" style="244" customWidth="1"/>
    <col min="13322" max="13322" width="8.421875" style="244" customWidth="1"/>
    <col min="13323" max="13568" width="8.7109375" style="244" customWidth="1"/>
    <col min="13569" max="13569" width="7.140625" style="244" customWidth="1"/>
    <col min="13570" max="13570" width="16.140625" style="244" customWidth="1"/>
    <col min="13571" max="13571" width="38.421875" style="244" customWidth="1"/>
    <col min="13572" max="13572" width="6.7109375" style="244" customWidth="1"/>
    <col min="13573" max="13573" width="8.7109375" style="244" customWidth="1"/>
    <col min="13574" max="13574" width="8.28125" style="244" customWidth="1"/>
    <col min="13575" max="13575" width="8.00390625" style="244" customWidth="1"/>
    <col min="13576" max="13576" width="8.7109375" style="244" customWidth="1"/>
    <col min="13577" max="13577" width="9.421875" style="244" customWidth="1"/>
    <col min="13578" max="13578" width="8.421875" style="244" customWidth="1"/>
    <col min="13579" max="13824" width="8.7109375" style="244" customWidth="1"/>
    <col min="13825" max="13825" width="7.140625" style="244" customWidth="1"/>
    <col min="13826" max="13826" width="16.140625" style="244" customWidth="1"/>
    <col min="13827" max="13827" width="38.421875" style="244" customWidth="1"/>
    <col min="13828" max="13828" width="6.7109375" style="244" customWidth="1"/>
    <col min="13829" max="13829" width="8.7109375" style="244" customWidth="1"/>
    <col min="13830" max="13830" width="8.28125" style="244" customWidth="1"/>
    <col min="13831" max="13831" width="8.00390625" style="244" customWidth="1"/>
    <col min="13832" max="13832" width="8.7109375" style="244" customWidth="1"/>
    <col min="13833" max="13833" width="9.421875" style="244" customWidth="1"/>
    <col min="13834" max="13834" width="8.421875" style="244" customWidth="1"/>
    <col min="13835" max="14080" width="8.7109375" style="244" customWidth="1"/>
    <col min="14081" max="14081" width="7.140625" style="244" customWidth="1"/>
    <col min="14082" max="14082" width="16.140625" style="244" customWidth="1"/>
    <col min="14083" max="14083" width="38.421875" style="244" customWidth="1"/>
    <col min="14084" max="14084" width="6.7109375" style="244" customWidth="1"/>
    <col min="14085" max="14085" width="8.7109375" style="244" customWidth="1"/>
    <col min="14086" max="14086" width="8.28125" style="244" customWidth="1"/>
    <col min="14087" max="14087" width="8.00390625" style="244" customWidth="1"/>
    <col min="14088" max="14088" width="8.7109375" style="244" customWidth="1"/>
    <col min="14089" max="14089" width="9.421875" style="244" customWidth="1"/>
    <col min="14090" max="14090" width="8.421875" style="244" customWidth="1"/>
    <col min="14091" max="14336" width="8.7109375" style="244" customWidth="1"/>
    <col min="14337" max="14337" width="7.140625" style="244" customWidth="1"/>
    <col min="14338" max="14338" width="16.140625" style="244" customWidth="1"/>
    <col min="14339" max="14339" width="38.421875" style="244" customWidth="1"/>
    <col min="14340" max="14340" width="6.7109375" style="244" customWidth="1"/>
    <col min="14341" max="14341" width="8.7109375" style="244" customWidth="1"/>
    <col min="14342" max="14342" width="8.28125" style="244" customWidth="1"/>
    <col min="14343" max="14343" width="8.00390625" style="244" customWidth="1"/>
    <col min="14344" max="14344" width="8.7109375" style="244" customWidth="1"/>
    <col min="14345" max="14345" width="9.421875" style="244" customWidth="1"/>
    <col min="14346" max="14346" width="8.421875" style="244" customWidth="1"/>
    <col min="14347" max="14592" width="8.7109375" style="244" customWidth="1"/>
    <col min="14593" max="14593" width="7.140625" style="244" customWidth="1"/>
    <col min="14594" max="14594" width="16.140625" style="244" customWidth="1"/>
    <col min="14595" max="14595" width="38.421875" style="244" customWidth="1"/>
    <col min="14596" max="14596" width="6.7109375" style="244" customWidth="1"/>
    <col min="14597" max="14597" width="8.7109375" style="244" customWidth="1"/>
    <col min="14598" max="14598" width="8.28125" style="244" customWidth="1"/>
    <col min="14599" max="14599" width="8.00390625" style="244" customWidth="1"/>
    <col min="14600" max="14600" width="8.7109375" style="244" customWidth="1"/>
    <col min="14601" max="14601" width="9.421875" style="244" customWidth="1"/>
    <col min="14602" max="14602" width="8.421875" style="244" customWidth="1"/>
    <col min="14603" max="14848" width="8.7109375" style="244" customWidth="1"/>
    <col min="14849" max="14849" width="7.140625" style="244" customWidth="1"/>
    <col min="14850" max="14850" width="16.140625" style="244" customWidth="1"/>
    <col min="14851" max="14851" width="38.421875" style="244" customWidth="1"/>
    <col min="14852" max="14852" width="6.7109375" style="244" customWidth="1"/>
    <col min="14853" max="14853" width="8.7109375" style="244" customWidth="1"/>
    <col min="14854" max="14854" width="8.28125" style="244" customWidth="1"/>
    <col min="14855" max="14855" width="8.00390625" style="244" customWidth="1"/>
    <col min="14856" max="14856" width="8.7109375" style="244" customWidth="1"/>
    <col min="14857" max="14857" width="9.421875" style="244" customWidth="1"/>
    <col min="14858" max="14858" width="8.421875" style="244" customWidth="1"/>
    <col min="14859" max="15104" width="8.7109375" style="244" customWidth="1"/>
    <col min="15105" max="15105" width="7.140625" style="244" customWidth="1"/>
    <col min="15106" max="15106" width="16.140625" style="244" customWidth="1"/>
    <col min="15107" max="15107" width="38.421875" style="244" customWidth="1"/>
    <col min="15108" max="15108" width="6.7109375" style="244" customWidth="1"/>
    <col min="15109" max="15109" width="8.7109375" style="244" customWidth="1"/>
    <col min="15110" max="15110" width="8.28125" style="244" customWidth="1"/>
    <col min="15111" max="15111" width="8.00390625" style="244" customWidth="1"/>
    <col min="15112" max="15112" width="8.7109375" style="244" customWidth="1"/>
    <col min="15113" max="15113" width="9.421875" style="244" customWidth="1"/>
    <col min="15114" max="15114" width="8.421875" style="244" customWidth="1"/>
    <col min="15115" max="15360" width="8.7109375" style="244" customWidth="1"/>
    <col min="15361" max="15361" width="7.140625" style="244" customWidth="1"/>
    <col min="15362" max="15362" width="16.140625" style="244" customWidth="1"/>
    <col min="15363" max="15363" width="38.421875" style="244" customWidth="1"/>
    <col min="15364" max="15364" width="6.7109375" style="244" customWidth="1"/>
    <col min="15365" max="15365" width="8.7109375" style="244" customWidth="1"/>
    <col min="15366" max="15366" width="8.28125" style="244" customWidth="1"/>
    <col min="15367" max="15367" width="8.00390625" style="244" customWidth="1"/>
    <col min="15368" max="15368" width="8.7109375" style="244" customWidth="1"/>
    <col min="15369" max="15369" width="9.421875" style="244" customWidth="1"/>
    <col min="15370" max="15370" width="8.421875" style="244" customWidth="1"/>
    <col min="15371" max="15616" width="8.7109375" style="244" customWidth="1"/>
    <col min="15617" max="15617" width="7.140625" style="244" customWidth="1"/>
    <col min="15618" max="15618" width="16.140625" style="244" customWidth="1"/>
    <col min="15619" max="15619" width="38.421875" style="244" customWidth="1"/>
    <col min="15620" max="15620" width="6.7109375" style="244" customWidth="1"/>
    <col min="15621" max="15621" width="8.7109375" style="244" customWidth="1"/>
    <col min="15622" max="15622" width="8.28125" style="244" customWidth="1"/>
    <col min="15623" max="15623" width="8.00390625" style="244" customWidth="1"/>
    <col min="15624" max="15624" width="8.7109375" style="244" customWidth="1"/>
    <col min="15625" max="15625" width="9.421875" style="244" customWidth="1"/>
    <col min="15626" max="15626" width="8.421875" style="244" customWidth="1"/>
    <col min="15627" max="15872" width="8.7109375" style="244" customWidth="1"/>
    <col min="15873" max="15873" width="7.140625" style="244" customWidth="1"/>
    <col min="15874" max="15874" width="16.140625" style="244" customWidth="1"/>
    <col min="15875" max="15875" width="38.421875" style="244" customWidth="1"/>
    <col min="15876" max="15876" width="6.7109375" style="244" customWidth="1"/>
    <col min="15877" max="15877" width="8.7109375" style="244" customWidth="1"/>
    <col min="15878" max="15878" width="8.28125" style="244" customWidth="1"/>
    <col min="15879" max="15879" width="8.00390625" style="244" customWidth="1"/>
    <col min="15880" max="15880" width="8.7109375" style="244" customWidth="1"/>
    <col min="15881" max="15881" width="9.421875" style="244" customWidth="1"/>
    <col min="15882" max="15882" width="8.421875" style="244" customWidth="1"/>
    <col min="15883" max="16128" width="8.7109375" style="244" customWidth="1"/>
    <col min="16129" max="16129" width="7.140625" style="244" customWidth="1"/>
    <col min="16130" max="16130" width="16.140625" style="244" customWidth="1"/>
    <col min="16131" max="16131" width="38.421875" style="244" customWidth="1"/>
    <col min="16132" max="16132" width="6.7109375" style="244" customWidth="1"/>
    <col min="16133" max="16133" width="8.7109375" style="244" customWidth="1"/>
    <col min="16134" max="16134" width="8.28125" style="244" customWidth="1"/>
    <col min="16135" max="16135" width="8.00390625" style="244" customWidth="1"/>
    <col min="16136" max="16136" width="8.7109375" style="244" customWidth="1"/>
    <col min="16137" max="16137" width="9.421875" style="244" customWidth="1"/>
    <col min="16138" max="16138" width="8.421875" style="244" customWidth="1"/>
    <col min="16139" max="16384" width="8.7109375" style="244" customWidth="1"/>
  </cols>
  <sheetData>
    <row r="1" spans="1:10" ht="15">
      <c r="A1" s="243"/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5">
      <c r="A2" s="243"/>
      <c r="B2" s="243"/>
      <c r="C2" s="243"/>
      <c r="D2" s="243"/>
      <c r="E2" s="243"/>
      <c r="F2" s="243"/>
      <c r="G2" s="243"/>
      <c r="H2" s="243"/>
      <c r="I2" s="243"/>
      <c r="J2" s="243"/>
    </row>
    <row r="3" spans="1:10" ht="15">
      <c r="A3" s="243" t="s">
        <v>1103</v>
      </c>
      <c r="B3" s="243" t="s">
        <v>1104</v>
      </c>
      <c r="C3" s="245" t="s">
        <v>1105</v>
      </c>
      <c r="D3" s="243"/>
      <c r="E3" s="243"/>
      <c r="F3" s="243" t="s">
        <v>1106</v>
      </c>
      <c r="G3" s="243" t="s">
        <v>1107</v>
      </c>
      <c r="H3" s="243" t="s">
        <v>1108</v>
      </c>
      <c r="I3" s="243"/>
      <c r="J3" s="243"/>
    </row>
    <row r="4" spans="1:10" ht="15">
      <c r="A4" s="243" t="s">
        <v>1103</v>
      </c>
      <c r="B4" s="243" t="s">
        <v>1109</v>
      </c>
      <c r="C4" s="245" t="s">
        <v>1110</v>
      </c>
      <c r="D4" s="243"/>
      <c r="E4" s="243"/>
      <c r="F4" s="243" t="s">
        <v>1111</v>
      </c>
      <c r="G4" s="243" t="s">
        <v>1112</v>
      </c>
      <c r="H4" s="243" t="s">
        <v>1113</v>
      </c>
      <c r="I4" s="243"/>
      <c r="J4" s="243"/>
    </row>
    <row r="5" spans="1:10" ht="15">
      <c r="A5" s="243"/>
      <c r="B5" s="243"/>
      <c r="C5" s="245"/>
      <c r="D5" s="243"/>
      <c r="E5" s="243"/>
      <c r="F5" s="243"/>
      <c r="G5" s="243"/>
      <c r="H5" s="243"/>
      <c r="I5" s="243"/>
      <c r="J5" s="243"/>
    </row>
    <row r="6" spans="1:10" ht="21">
      <c r="A6" s="243"/>
      <c r="B6" s="243" t="s">
        <v>1114</v>
      </c>
      <c r="C6" s="245" t="s">
        <v>1115</v>
      </c>
      <c r="D6" s="245" t="s">
        <v>1116</v>
      </c>
      <c r="E6" s="245" t="s">
        <v>1117</v>
      </c>
      <c r="F6" s="245" t="s">
        <v>1118</v>
      </c>
      <c r="G6" s="245" t="s">
        <v>1119</v>
      </c>
      <c r="H6" s="245" t="s">
        <v>1120</v>
      </c>
      <c r="I6" s="245" t="s">
        <v>1121</v>
      </c>
      <c r="J6" s="245" t="s">
        <v>1122</v>
      </c>
    </row>
    <row r="7" spans="1:10" ht="15">
      <c r="A7" s="243"/>
      <c r="B7" s="243"/>
      <c r="C7" s="245"/>
      <c r="D7" s="243"/>
      <c r="E7" s="243"/>
      <c r="F7" s="243"/>
      <c r="G7" s="243"/>
      <c r="H7" s="243"/>
      <c r="I7" s="243"/>
      <c r="J7" s="243"/>
    </row>
    <row r="8" spans="1:10" ht="15">
      <c r="A8" s="243"/>
      <c r="B8" s="243"/>
      <c r="C8" s="245" t="s">
        <v>1123</v>
      </c>
      <c r="D8" s="243"/>
      <c r="E8" s="246"/>
      <c r="F8" s="246"/>
      <c r="G8" s="246"/>
      <c r="H8" s="246"/>
      <c r="I8" s="246"/>
      <c r="J8" s="246"/>
    </row>
    <row r="9" spans="1:10" ht="15">
      <c r="A9" s="243">
        <v>1</v>
      </c>
      <c r="B9" s="243" t="s">
        <v>1124</v>
      </c>
      <c r="C9" s="245" t="s">
        <v>1125</v>
      </c>
      <c r="D9" s="243" t="s">
        <v>1126</v>
      </c>
      <c r="E9" s="246">
        <v>1</v>
      </c>
      <c r="F9" s="417"/>
      <c r="G9" s="246">
        <f aca="true" t="shared" si="0" ref="G9:G16">E9*F9</f>
        <v>0</v>
      </c>
      <c r="H9" s="246"/>
      <c r="I9" s="246"/>
      <c r="J9" s="417"/>
    </row>
    <row r="10" spans="1:10" ht="15">
      <c r="A10" s="243">
        <v>2</v>
      </c>
      <c r="B10" s="243" t="s">
        <v>1127</v>
      </c>
      <c r="C10" s="245" t="s">
        <v>1128</v>
      </c>
      <c r="D10" s="243" t="s">
        <v>1129</v>
      </c>
      <c r="E10" s="246">
        <v>12.8</v>
      </c>
      <c r="F10" s="417"/>
      <c r="G10" s="246">
        <f t="shared" si="0"/>
        <v>0</v>
      </c>
      <c r="H10" s="246"/>
      <c r="I10" s="246"/>
      <c r="J10" s="417"/>
    </row>
    <row r="11" spans="1:10" ht="15">
      <c r="A11" s="243">
        <v>3</v>
      </c>
      <c r="B11" s="243" t="s">
        <v>1130</v>
      </c>
      <c r="C11" s="245" t="s">
        <v>1131</v>
      </c>
      <c r="D11" s="243" t="s">
        <v>1129</v>
      </c>
      <c r="E11" s="246">
        <v>2</v>
      </c>
      <c r="F11" s="417"/>
      <c r="G11" s="246">
        <f t="shared" si="0"/>
        <v>0</v>
      </c>
      <c r="H11" s="246"/>
      <c r="I11" s="246"/>
      <c r="J11" s="417"/>
    </row>
    <row r="12" spans="1:10" ht="15">
      <c r="A12" s="243">
        <v>4</v>
      </c>
      <c r="B12" s="243" t="s">
        <v>1132</v>
      </c>
      <c r="C12" s="245" t="s">
        <v>1133</v>
      </c>
      <c r="D12" s="243" t="s">
        <v>1129</v>
      </c>
      <c r="E12" s="246">
        <v>6</v>
      </c>
      <c r="F12" s="417"/>
      <c r="G12" s="246">
        <f t="shared" si="0"/>
        <v>0</v>
      </c>
      <c r="H12" s="246"/>
      <c r="I12" s="246"/>
      <c r="J12" s="417"/>
    </row>
    <row r="13" spans="1:10" ht="15">
      <c r="A13" s="243">
        <v>5</v>
      </c>
      <c r="B13" s="243" t="s">
        <v>1134</v>
      </c>
      <c r="C13" s="245" t="s">
        <v>1135</v>
      </c>
      <c r="D13" s="243" t="s">
        <v>1136</v>
      </c>
      <c r="E13" s="246">
        <v>1</v>
      </c>
      <c r="F13" s="417"/>
      <c r="G13" s="246">
        <f t="shared" si="0"/>
        <v>0</v>
      </c>
      <c r="H13" s="246"/>
      <c r="I13" s="246"/>
      <c r="J13" s="417"/>
    </row>
    <row r="14" spans="1:10" ht="21">
      <c r="A14" s="243">
        <v>6</v>
      </c>
      <c r="B14" s="243" t="s">
        <v>1137</v>
      </c>
      <c r="C14" s="245" t="s">
        <v>1138</v>
      </c>
      <c r="D14" s="243" t="s">
        <v>1126</v>
      </c>
      <c r="E14" s="246">
        <v>1</v>
      </c>
      <c r="F14" s="417"/>
      <c r="G14" s="246">
        <f t="shared" si="0"/>
        <v>0</v>
      </c>
      <c r="H14" s="246"/>
      <c r="I14" s="246" t="s">
        <v>1139</v>
      </c>
      <c r="J14" s="417"/>
    </row>
    <row r="15" spans="1:10" ht="15">
      <c r="A15" s="243">
        <v>7</v>
      </c>
      <c r="B15" s="243" t="s">
        <v>1140</v>
      </c>
      <c r="C15" s="245" t="s">
        <v>1141</v>
      </c>
      <c r="D15" s="243" t="s">
        <v>1126</v>
      </c>
      <c r="E15" s="246">
        <v>3.84</v>
      </c>
      <c r="F15" s="417"/>
      <c r="G15" s="246">
        <f t="shared" si="0"/>
        <v>0</v>
      </c>
      <c r="H15" s="246"/>
      <c r="I15" s="246" t="s">
        <v>1142</v>
      </c>
      <c r="J15" s="417"/>
    </row>
    <row r="16" spans="1:10" ht="15">
      <c r="A16" s="243">
        <v>8</v>
      </c>
      <c r="B16" s="243" t="s">
        <v>1143</v>
      </c>
      <c r="C16" s="245" t="s">
        <v>1144</v>
      </c>
      <c r="D16" s="243" t="s">
        <v>1129</v>
      </c>
      <c r="E16" s="246" t="s">
        <v>1145</v>
      </c>
      <c r="F16" s="417"/>
      <c r="G16" s="246">
        <f t="shared" si="0"/>
        <v>0</v>
      </c>
      <c r="H16" s="246"/>
      <c r="I16" s="246"/>
      <c r="J16" s="417"/>
    </row>
    <row r="17" spans="1:10" ht="15">
      <c r="A17" s="243"/>
      <c r="B17" s="243"/>
      <c r="C17" s="245" t="s">
        <v>1146</v>
      </c>
      <c r="D17" s="243"/>
      <c r="E17" s="246"/>
      <c r="F17" s="417"/>
      <c r="G17" s="246"/>
      <c r="H17" s="246"/>
      <c r="I17" s="246"/>
      <c r="J17" s="417"/>
    </row>
    <row r="18" spans="1:10" ht="15">
      <c r="A18" s="243"/>
      <c r="B18" s="243"/>
      <c r="C18" s="245"/>
      <c r="D18" s="243"/>
      <c r="E18" s="246"/>
      <c r="F18" s="417"/>
      <c r="G18" s="246"/>
      <c r="H18" s="246"/>
      <c r="I18" s="246"/>
      <c r="J18" s="417"/>
    </row>
    <row r="19" spans="1:10" ht="15">
      <c r="A19" s="243"/>
      <c r="B19" s="243"/>
      <c r="C19" s="245" t="s">
        <v>1147</v>
      </c>
      <c r="D19" s="243"/>
      <c r="E19" s="246"/>
      <c r="F19" s="417"/>
      <c r="G19" s="246"/>
      <c r="H19" s="246"/>
      <c r="I19" s="246"/>
      <c r="J19" s="417"/>
    </row>
    <row r="20" spans="1:10" ht="15">
      <c r="A20" s="243">
        <v>9</v>
      </c>
      <c r="B20" s="243" t="s">
        <v>1148</v>
      </c>
      <c r="C20" s="245" t="s">
        <v>1149</v>
      </c>
      <c r="D20" s="243" t="s">
        <v>1129</v>
      </c>
      <c r="E20" s="246">
        <v>1.28</v>
      </c>
      <c r="F20" s="417"/>
      <c r="G20" s="246">
        <f>E20*F20</f>
        <v>0</v>
      </c>
      <c r="H20" s="246"/>
      <c r="I20" s="246" t="s">
        <v>1150</v>
      </c>
      <c r="J20" s="417"/>
    </row>
    <row r="21" spans="1:10" ht="15">
      <c r="A21" s="243"/>
      <c r="B21" s="243"/>
      <c r="C21" s="245" t="s">
        <v>1151</v>
      </c>
      <c r="D21" s="243"/>
      <c r="E21" s="246"/>
      <c r="F21" s="417"/>
      <c r="G21" s="246"/>
      <c r="H21" s="246"/>
      <c r="I21" s="246"/>
      <c r="J21" s="417"/>
    </row>
    <row r="22" spans="1:10" ht="15">
      <c r="A22" s="243"/>
      <c r="B22" s="243"/>
      <c r="C22" s="245"/>
      <c r="D22" s="243"/>
      <c r="E22" s="246"/>
      <c r="F22" s="417"/>
      <c r="G22" s="246"/>
      <c r="H22" s="246"/>
      <c r="I22" s="246"/>
      <c r="J22" s="417"/>
    </row>
    <row r="23" spans="1:10" ht="15">
      <c r="A23" s="243"/>
      <c r="B23" s="243"/>
      <c r="C23" s="245" t="s">
        <v>1152</v>
      </c>
      <c r="D23" s="243"/>
      <c r="E23" s="246"/>
      <c r="F23" s="417"/>
      <c r="G23" s="246"/>
      <c r="H23" s="246"/>
      <c r="I23" s="246"/>
      <c r="J23" s="417"/>
    </row>
    <row r="24" spans="1:10" ht="21">
      <c r="A24" s="243">
        <v>10</v>
      </c>
      <c r="B24" s="243" t="s">
        <v>1153</v>
      </c>
      <c r="C24" s="245" t="s">
        <v>1154</v>
      </c>
      <c r="D24" s="243" t="s">
        <v>1126</v>
      </c>
      <c r="E24" s="246">
        <v>1</v>
      </c>
      <c r="F24" s="417"/>
      <c r="G24" s="246">
        <f aca="true" t="shared" si="1" ref="G24:G29">E24*F24</f>
        <v>0</v>
      </c>
      <c r="H24" s="246"/>
      <c r="I24" s="246" t="s">
        <v>1155</v>
      </c>
      <c r="J24" s="417"/>
    </row>
    <row r="25" spans="1:10" ht="15">
      <c r="A25" s="243">
        <v>11</v>
      </c>
      <c r="B25" s="243" t="s">
        <v>1156</v>
      </c>
      <c r="C25" s="245" t="s">
        <v>1157</v>
      </c>
      <c r="D25" s="243" t="s">
        <v>847</v>
      </c>
      <c r="E25" s="246">
        <v>16</v>
      </c>
      <c r="F25" s="417"/>
      <c r="G25" s="246">
        <f t="shared" si="1"/>
        <v>0</v>
      </c>
      <c r="H25" s="246"/>
      <c r="I25" s="246" t="s">
        <v>1158</v>
      </c>
      <c r="J25" s="417"/>
    </row>
    <row r="26" spans="1:10" ht="15">
      <c r="A26" s="243">
        <v>12</v>
      </c>
      <c r="B26" s="243" t="s">
        <v>1159</v>
      </c>
      <c r="C26" s="245" t="s">
        <v>1160</v>
      </c>
      <c r="D26" s="243" t="s">
        <v>847</v>
      </c>
      <c r="E26" s="246">
        <v>16</v>
      </c>
      <c r="F26" s="417"/>
      <c r="G26" s="246">
        <f t="shared" si="1"/>
        <v>0</v>
      </c>
      <c r="H26" s="246"/>
      <c r="I26" s="246" t="s">
        <v>1161</v>
      </c>
      <c r="J26" s="417"/>
    </row>
    <row r="27" spans="1:10" ht="15">
      <c r="A27" s="243">
        <v>13</v>
      </c>
      <c r="B27" s="243" t="s">
        <v>1162</v>
      </c>
      <c r="C27" s="245" t="s">
        <v>1163</v>
      </c>
      <c r="D27" s="243" t="s">
        <v>1136</v>
      </c>
      <c r="E27" s="246">
        <v>11</v>
      </c>
      <c r="F27" s="417"/>
      <c r="G27" s="246">
        <f t="shared" si="1"/>
        <v>0</v>
      </c>
      <c r="H27" s="246"/>
      <c r="I27" s="246" t="s">
        <v>1158</v>
      </c>
      <c r="J27" s="417"/>
    </row>
    <row r="28" spans="1:10" ht="15">
      <c r="A28" s="243">
        <v>14</v>
      </c>
      <c r="B28" s="243" t="s">
        <v>1159</v>
      </c>
      <c r="C28" s="245" t="s">
        <v>1164</v>
      </c>
      <c r="D28" s="243" t="s">
        <v>1136</v>
      </c>
      <c r="E28" s="246">
        <v>8</v>
      </c>
      <c r="F28" s="417"/>
      <c r="G28" s="246">
        <f t="shared" si="1"/>
        <v>0</v>
      </c>
      <c r="H28" s="246"/>
      <c r="I28" s="246" t="s">
        <v>1158</v>
      </c>
      <c r="J28" s="417"/>
    </row>
    <row r="29" spans="1:10" ht="15">
      <c r="A29" s="243">
        <v>15</v>
      </c>
      <c r="B29" s="243" t="s">
        <v>1165</v>
      </c>
      <c r="C29" s="245" t="s">
        <v>1166</v>
      </c>
      <c r="D29" s="243" t="s">
        <v>1136</v>
      </c>
      <c r="E29" s="246">
        <v>3</v>
      </c>
      <c r="F29" s="417"/>
      <c r="G29" s="246">
        <f t="shared" si="1"/>
        <v>0</v>
      </c>
      <c r="H29" s="246"/>
      <c r="I29" s="246"/>
      <c r="J29" s="417"/>
    </row>
    <row r="30" spans="1:10" ht="15">
      <c r="A30" s="243"/>
      <c r="B30" s="243"/>
      <c r="C30" s="245" t="s">
        <v>1167</v>
      </c>
      <c r="D30" s="243"/>
      <c r="E30" s="246"/>
      <c r="F30" s="417"/>
      <c r="G30" s="246"/>
      <c r="H30" s="246"/>
      <c r="I30" s="246"/>
      <c r="J30" s="417"/>
    </row>
    <row r="31" spans="1:10" ht="15">
      <c r="A31" s="243"/>
      <c r="B31" s="243"/>
      <c r="C31" s="245"/>
      <c r="D31" s="243"/>
      <c r="E31" s="246"/>
      <c r="F31" s="417"/>
      <c r="G31" s="246"/>
      <c r="H31" s="246"/>
      <c r="I31" s="246"/>
      <c r="J31" s="417"/>
    </row>
    <row r="32" spans="1:10" ht="15">
      <c r="A32" s="243"/>
      <c r="B32" s="243"/>
      <c r="C32" s="245" t="s">
        <v>1168</v>
      </c>
      <c r="D32" s="243"/>
      <c r="E32" s="246"/>
      <c r="F32" s="417"/>
      <c r="G32" s="246"/>
      <c r="H32" s="246"/>
      <c r="I32" s="246"/>
      <c r="J32" s="417"/>
    </row>
    <row r="33" spans="1:10" ht="15">
      <c r="A33" s="243">
        <v>16</v>
      </c>
      <c r="B33" s="243" t="s">
        <v>1169</v>
      </c>
      <c r="C33" s="245" t="s">
        <v>1170</v>
      </c>
      <c r="D33" s="243" t="s">
        <v>1171</v>
      </c>
      <c r="E33" s="246">
        <v>16.5</v>
      </c>
      <c r="F33" s="417"/>
      <c r="G33" s="246">
        <f aca="true" t="shared" si="2" ref="G33:G37">E33*F33</f>
        <v>0</v>
      </c>
      <c r="H33" s="246"/>
      <c r="I33" s="246" t="s">
        <v>1172</v>
      </c>
      <c r="J33" s="417"/>
    </row>
    <row r="34" spans="1:10" ht="21">
      <c r="A34" s="243">
        <v>17</v>
      </c>
      <c r="B34" s="243" t="s">
        <v>1173</v>
      </c>
      <c r="C34" s="245" t="s">
        <v>1174</v>
      </c>
      <c r="D34" s="243" t="s">
        <v>1129</v>
      </c>
      <c r="E34" s="246">
        <v>1.28</v>
      </c>
      <c r="F34" s="417"/>
      <c r="G34" s="246">
        <f t="shared" si="2"/>
        <v>0</v>
      </c>
      <c r="H34" s="246"/>
      <c r="I34" s="246" t="s">
        <v>1175</v>
      </c>
      <c r="J34" s="417"/>
    </row>
    <row r="35" spans="1:10" ht="15">
      <c r="A35" s="243">
        <v>18</v>
      </c>
      <c r="B35" s="243" t="s">
        <v>1176</v>
      </c>
      <c r="C35" s="245" t="s">
        <v>1177</v>
      </c>
      <c r="D35" s="243" t="s">
        <v>847</v>
      </c>
      <c r="E35" s="246">
        <v>16</v>
      </c>
      <c r="F35" s="417"/>
      <c r="G35" s="246">
        <f t="shared" si="2"/>
        <v>0</v>
      </c>
      <c r="H35" s="246"/>
      <c r="I35" s="246" t="s">
        <v>1178</v>
      </c>
      <c r="J35" s="417"/>
    </row>
    <row r="36" spans="1:10" ht="15">
      <c r="A36" s="243">
        <v>19</v>
      </c>
      <c r="B36" s="243" t="s">
        <v>1179</v>
      </c>
      <c r="C36" s="245" t="s">
        <v>1180</v>
      </c>
      <c r="D36" s="243" t="s">
        <v>1126</v>
      </c>
      <c r="E36" s="246">
        <v>1</v>
      </c>
      <c r="F36" s="417"/>
      <c r="G36" s="246">
        <f t="shared" si="2"/>
        <v>0</v>
      </c>
      <c r="H36" s="246"/>
      <c r="I36" s="246"/>
      <c r="J36" s="417"/>
    </row>
    <row r="37" spans="1:10" ht="15">
      <c r="A37" s="243">
        <v>20</v>
      </c>
      <c r="B37" s="243" t="s">
        <v>1181</v>
      </c>
      <c r="C37" s="245" t="s">
        <v>1182</v>
      </c>
      <c r="D37" s="243" t="s">
        <v>1183</v>
      </c>
      <c r="E37" s="246">
        <v>45.76</v>
      </c>
      <c r="F37" s="417"/>
      <c r="G37" s="246">
        <f t="shared" si="2"/>
        <v>0</v>
      </c>
      <c r="H37" s="246"/>
      <c r="I37" s="246"/>
      <c r="J37" s="417"/>
    </row>
    <row r="38" spans="1:10" ht="15">
      <c r="A38" s="243"/>
      <c r="B38" s="243"/>
      <c r="C38" s="245" t="s">
        <v>1184</v>
      </c>
      <c r="D38" s="243"/>
      <c r="E38" s="246"/>
      <c r="F38" s="246"/>
      <c r="G38" s="246"/>
      <c r="H38" s="246"/>
      <c r="I38" s="246"/>
      <c r="J38" s="417"/>
    </row>
    <row r="39" spans="1:10" ht="15">
      <c r="A39" s="243"/>
      <c r="B39" s="243"/>
      <c r="C39" s="245"/>
      <c r="D39" s="243"/>
      <c r="E39" s="246"/>
      <c r="F39" s="246"/>
      <c r="G39" s="246"/>
      <c r="H39" s="246"/>
      <c r="I39" s="246"/>
      <c r="J39" s="246"/>
    </row>
    <row r="40" spans="1:10" ht="15">
      <c r="A40" s="243"/>
      <c r="B40" s="243"/>
      <c r="C40" s="245" t="s">
        <v>1185</v>
      </c>
      <c r="D40" s="243"/>
      <c r="E40" s="246"/>
      <c r="F40" s="246"/>
      <c r="G40" s="246">
        <f>SUM(G9:G37)</f>
        <v>0</v>
      </c>
      <c r="H40" s="246" t="s">
        <v>1186</v>
      </c>
      <c r="I40" s="246"/>
      <c r="J40" s="246"/>
    </row>
    <row r="41" spans="1:10" ht="15">
      <c r="A41" s="243"/>
      <c r="B41" s="243"/>
      <c r="C41" s="243"/>
      <c r="D41" s="243"/>
      <c r="E41" s="247"/>
      <c r="F41" s="247"/>
      <c r="G41" s="247"/>
      <c r="H41" s="247"/>
      <c r="I41" s="247"/>
      <c r="J41" s="247"/>
    </row>
    <row r="42" spans="5:10" ht="15">
      <c r="E42" s="248"/>
      <c r="F42" s="248"/>
      <c r="G42" s="248"/>
      <c r="H42" s="248"/>
      <c r="I42" s="248"/>
      <c r="J42" s="248"/>
    </row>
  </sheetData>
  <sheetProtection algorithmName="SHA-512" hashValue="JkkZF87G+1iuireUHn9bHuXt1yBiForo6xOEdBXprRf8AxFPDf2qBrQpwkE+eES24r+aIgC6JT00/Gfx4RuzLw==" saltValue="nZcmkmlTkOCCnEiFVO/6TA==" spinCount="100000" sheet="1" objects="1" scenarios="1"/>
  <printOptions/>
  <pageMargins left="0.747916666666667" right="0.747916666666667" top="0.984027777777778" bottom="0.984027777777778" header="0.511811023622047" footer="0.511811023622047"/>
  <pageSetup fitToHeight="99" fitToWidth="1" horizontalDpi="300" verticalDpi="300" orientation="portrait" paperSize="9" scale="6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zoomScale="130" zoomScaleNormal="130" workbookViewId="0" topLeftCell="A1">
      <selection activeCell="N30" sqref="N30"/>
    </sheetView>
  </sheetViews>
  <sheetFormatPr defaultColWidth="11.57421875" defaultRowHeight="15"/>
  <cols>
    <col min="1" max="1" width="6.7109375" style="244" customWidth="1"/>
    <col min="2" max="2" width="17.00390625" style="244" customWidth="1"/>
    <col min="3" max="3" width="39.28125" style="244" customWidth="1"/>
    <col min="4" max="4" width="6.140625" style="244" customWidth="1"/>
    <col min="5" max="5" width="8.7109375" style="244" customWidth="1"/>
    <col min="6" max="6" width="10.00390625" style="244" customWidth="1"/>
    <col min="7" max="7" width="8.421875" style="244" customWidth="1"/>
    <col min="8" max="8" width="8.7109375" style="244" customWidth="1"/>
    <col min="9" max="9" width="8.28125" style="244" customWidth="1"/>
    <col min="10" max="10" width="7.7109375" style="244" customWidth="1"/>
    <col min="11" max="256" width="8.7109375" style="244" customWidth="1"/>
    <col min="257" max="257" width="6.7109375" style="244" customWidth="1"/>
    <col min="258" max="258" width="17.00390625" style="244" customWidth="1"/>
    <col min="259" max="259" width="39.28125" style="244" customWidth="1"/>
    <col min="260" max="260" width="6.140625" style="244" customWidth="1"/>
    <col min="261" max="261" width="8.7109375" style="244" customWidth="1"/>
    <col min="262" max="262" width="10.00390625" style="244" customWidth="1"/>
    <col min="263" max="263" width="8.421875" style="244" customWidth="1"/>
    <col min="264" max="264" width="8.7109375" style="244" customWidth="1"/>
    <col min="265" max="265" width="8.28125" style="244" customWidth="1"/>
    <col min="266" max="266" width="7.7109375" style="244" customWidth="1"/>
    <col min="267" max="512" width="8.7109375" style="244" customWidth="1"/>
    <col min="513" max="513" width="6.7109375" style="244" customWidth="1"/>
    <col min="514" max="514" width="17.00390625" style="244" customWidth="1"/>
    <col min="515" max="515" width="39.28125" style="244" customWidth="1"/>
    <col min="516" max="516" width="6.140625" style="244" customWidth="1"/>
    <col min="517" max="517" width="8.7109375" style="244" customWidth="1"/>
    <col min="518" max="518" width="10.00390625" style="244" customWidth="1"/>
    <col min="519" max="519" width="8.421875" style="244" customWidth="1"/>
    <col min="520" max="520" width="8.7109375" style="244" customWidth="1"/>
    <col min="521" max="521" width="8.28125" style="244" customWidth="1"/>
    <col min="522" max="522" width="7.7109375" style="244" customWidth="1"/>
    <col min="523" max="768" width="8.7109375" style="244" customWidth="1"/>
    <col min="769" max="769" width="6.7109375" style="244" customWidth="1"/>
    <col min="770" max="770" width="17.00390625" style="244" customWidth="1"/>
    <col min="771" max="771" width="39.28125" style="244" customWidth="1"/>
    <col min="772" max="772" width="6.140625" style="244" customWidth="1"/>
    <col min="773" max="773" width="8.7109375" style="244" customWidth="1"/>
    <col min="774" max="774" width="10.00390625" style="244" customWidth="1"/>
    <col min="775" max="775" width="8.421875" style="244" customWidth="1"/>
    <col min="776" max="776" width="8.7109375" style="244" customWidth="1"/>
    <col min="777" max="777" width="8.28125" style="244" customWidth="1"/>
    <col min="778" max="778" width="7.7109375" style="244" customWidth="1"/>
    <col min="779" max="1024" width="8.7109375" style="244" customWidth="1"/>
    <col min="1025" max="1025" width="6.7109375" style="244" customWidth="1"/>
    <col min="1026" max="1026" width="17.00390625" style="244" customWidth="1"/>
    <col min="1027" max="1027" width="39.28125" style="244" customWidth="1"/>
    <col min="1028" max="1028" width="6.140625" style="244" customWidth="1"/>
    <col min="1029" max="1029" width="8.7109375" style="244" customWidth="1"/>
    <col min="1030" max="1030" width="10.00390625" style="244" customWidth="1"/>
    <col min="1031" max="1031" width="8.421875" style="244" customWidth="1"/>
    <col min="1032" max="1032" width="8.7109375" style="244" customWidth="1"/>
    <col min="1033" max="1033" width="8.28125" style="244" customWidth="1"/>
    <col min="1034" max="1034" width="7.7109375" style="244" customWidth="1"/>
    <col min="1035" max="1280" width="8.7109375" style="244" customWidth="1"/>
    <col min="1281" max="1281" width="6.7109375" style="244" customWidth="1"/>
    <col min="1282" max="1282" width="17.00390625" style="244" customWidth="1"/>
    <col min="1283" max="1283" width="39.28125" style="244" customWidth="1"/>
    <col min="1284" max="1284" width="6.140625" style="244" customWidth="1"/>
    <col min="1285" max="1285" width="8.7109375" style="244" customWidth="1"/>
    <col min="1286" max="1286" width="10.00390625" style="244" customWidth="1"/>
    <col min="1287" max="1287" width="8.421875" style="244" customWidth="1"/>
    <col min="1288" max="1288" width="8.7109375" style="244" customWidth="1"/>
    <col min="1289" max="1289" width="8.28125" style="244" customWidth="1"/>
    <col min="1290" max="1290" width="7.7109375" style="244" customWidth="1"/>
    <col min="1291" max="1536" width="8.7109375" style="244" customWidth="1"/>
    <col min="1537" max="1537" width="6.7109375" style="244" customWidth="1"/>
    <col min="1538" max="1538" width="17.00390625" style="244" customWidth="1"/>
    <col min="1539" max="1539" width="39.28125" style="244" customWidth="1"/>
    <col min="1540" max="1540" width="6.140625" style="244" customWidth="1"/>
    <col min="1541" max="1541" width="8.7109375" style="244" customWidth="1"/>
    <col min="1542" max="1542" width="10.00390625" style="244" customWidth="1"/>
    <col min="1543" max="1543" width="8.421875" style="244" customWidth="1"/>
    <col min="1544" max="1544" width="8.7109375" style="244" customWidth="1"/>
    <col min="1545" max="1545" width="8.28125" style="244" customWidth="1"/>
    <col min="1546" max="1546" width="7.7109375" style="244" customWidth="1"/>
    <col min="1547" max="1792" width="8.7109375" style="244" customWidth="1"/>
    <col min="1793" max="1793" width="6.7109375" style="244" customWidth="1"/>
    <col min="1794" max="1794" width="17.00390625" style="244" customWidth="1"/>
    <col min="1795" max="1795" width="39.28125" style="244" customWidth="1"/>
    <col min="1796" max="1796" width="6.140625" style="244" customWidth="1"/>
    <col min="1797" max="1797" width="8.7109375" style="244" customWidth="1"/>
    <col min="1798" max="1798" width="10.00390625" style="244" customWidth="1"/>
    <col min="1799" max="1799" width="8.421875" style="244" customWidth="1"/>
    <col min="1800" max="1800" width="8.7109375" style="244" customWidth="1"/>
    <col min="1801" max="1801" width="8.28125" style="244" customWidth="1"/>
    <col min="1802" max="1802" width="7.7109375" style="244" customWidth="1"/>
    <col min="1803" max="2048" width="8.7109375" style="244" customWidth="1"/>
    <col min="2049" max="2049" width="6.7109375" style="244" customWidth="1"/>
    <col min="2050" max="2050" width="17.00390625" style="244" customWidth="1"/>
    <col min="2051" max="2051" width="39.28125" style="244" customWidth="1"/>
    <col min="2052" max="2052" width="6.140625" style="244" customWidth="1"/>
    <col min="2053" max="2053" width="8.7109375" style="244" customWidth="1"/>
    <col min="2054" max="2054" width="10.00390625" style="244" customWidth="1"/>
    <col min="2055" max="2055" width="8.421875" style="244" customWidth="1"/>
    <col min="2056" max="2056" width="8.7109375" style="244" customWidth="1"/>
    <col min="2057" max="2057" width="8.28125" style="244" customWidth="1"/>
    <col min="2058" max="2058" width="7.7109375" style="244" customWidth="1"/>
    <col min="2059" max="2304" width="8.7109375" style="244" customWidth="1"/>
    <col min="2305" max="2305" width="6.7109375" style="244" customWidth="1"/>
    <col min="2306" max="2306" width="17.00390625" style="244" customWidth="1"/>
    <col min="2307" max="2307" width="39.28125" style="244" customWidth="1"/>
    <col min="2308" max="2308" width="6.140625" style="244" customWidth="1"/>
    <col min="2309" max="2309" width="8.7109375" style="244" customWidth="1"/>
    <col min="2310" max="2310" width="10.00390625" style="244" customWidth="1"/>
    <col min="2311" max="2311" width="8.421875" style="244" customWidth="1"/>
    <col min="2312" max="2312" width="8.7109375" style="244" customWidth="1"/>
    <col min="2313" max="2313" width="8.28125" style="244" customWidth="1"/>
    <col min="2314" max="2314" width="7.7109375" style="244" customWidth="1"/>
    <col min="2315" max="2560" width="8.7109375" style="244" customWidth="1"/>
    <col min="2561" max="2561" width="6.7109375" style="244" customWidth="1"/>
    <col min="2562" max="2562" width="17.00390625" style="244" customWidth="1"/>
    <col min="2563" max="2563" width="39.28125" style="244" customWidth="1"/>
    <col min="2564" max="2564" width="6.140625" style="244" customWidth="1"/>
    <col min="2565" max="2565" width="8.7109375" style="244" customWidth="1"/>
    <col min="2566" max="2566" width="10.00390625" style="244" customWidth="1"/>
    <col min="2567" max="2567" width="8.421875" style="244" customWidth="1"/>
    <col min="2568" max="2568" width="8.7109375" style="244" customWidth="1"/>
    <col min="2569" max="2569" width="8.28125" style="244" customWidth="1"/>
    <col min="2570" max="2570" width="7.7109375" style="244" customWidth="1"/>
    <col min="2571" max="2816" width="8.7109375" style="244" customWidth="1"/>
    <col min="2817" max="2817" width="6.7109375" style="244" customWidth="1"/>
    <col min="2818" max="2818" width="17.00390625" style="244" customWidth="1"/>
    <col min="2819" max="2819" width="39.28125" style="244" customWidth="1"/>
    <col min="2820" max="2820" width="6.140625" style="244" customWidth="1"/>
    <col min="2821" max="2821" width="8.7109375" style="244" customWidth="1"/>
    <col min="2822" max="2822" width="10.00390625" style="244" customWidth="1"/>
    <col min="2823" max="2823" width="8.421875" style="244" customWidth="1"/>
    <col min="2824" max="2824" width="8.7109375" style="244" customWidth="1"/>
    <col min="2825" max="2825" width="8.28125" style="244" customWidth="1"/>
    <col min="2826" max="2826" width="7.7109375" style="244" customWidth="1"/>
    <col min="2827" max="3072" width="8.7109375" style="244" customWidth="1"/>
    <col min="3073" max="3073" width="6.7109375" style="244" customWidth="1"/>
    <col min="3074" max="3074" width="17.00390625" style="244" customWidth="1"/>
    <col min="3075" max="3075" width="39.28125" style="244" customWidth="1"/>
    <col min="3076" max="3076" width="6.140625" style="244" customWidth="1"/>
    <col min="3077" max="3077" width="8.7109375" style="244" customWidth="1"/>
    <col min="3078" max="3078" width="10.00390625" style="244" customWidth="1"/>
    <col min="3079" max="3079" width="8.421875" style="244" customWidth="1"/>
    <col min="3080" max="3080" width="8.7109375" style="244" customWidth="1"/>
    <col min="3081" max="3081" width="8.28125" style="244" customWidth="1"/>
    <col min="3082" max="3082" width="7.7109375" style="244" customWidth="1"/>
    <col min="3083" max="3328" width="8.7109375" style="244" customWidth="1"/>
    <col min="3329" max="3329" width="6.7109375" style="244" customWidth="1"/>
    <col min="3330" max="3330" width="17.00390625" style="244" customWidth="1"/>
    <col min="3331" max="3331" width="39.28125" style="244" customWidth="1"/>
    <col min="3332" max="3332" width="6.140625" style="244" customWidth="1"/>
    <col min="3333" max="3333" width="8.7109375" style="244" customWidth="1"/>
    <col min="3334" max="3334" width="10.00390625" style="244" customWidth="1"/>
    <col min="3335" max="3335" width="8.421875" style="244" customWidth="1"/>
    <col min="3336" max="3336" width="8.7109375" style="244" customWidth="1"/>
    <col min="3337" max="3337" width="8.28125" style="244" customWidth="1"/>
    <col min="3338" max="3338" width="7.7109375" style="244" customWidth="1"/>
    <col min="3339" max="3584" width="8.7109375" style="244" customWidth="1"/>
    <col min="3585" max="3585" width="6.7109375" style="244" customWidth="1"/>
    <col min="3586" max="3586" width="17.00390625" style="244" customWidth="1"/>
    <col min="3587" max="3587" width="39.28125" style="244" customWidth="1"/>
    <col min="3588" max="3588" width="6.140625" style="244" customWidth="1"/>
    <col min="3589" max="3589" width="8.7109375" style="244" customWidth="1"/>
    <col min="3590" max="3590" width="10.00390625" style="244" customWidth="1"/>
    <col min="3591" max="3591" width="8.421875" style="244" customWidth="1"/>
    <col min="3592" max="3592" width="8.7109375" style="244" customWidth="1"/>
    <col min="3593" max="3593" width="8.28125" style="244" customWidth="1"/>
    <col min="3594" max="3594" width="7.7109375" style="244" customWidth="1"/>
    <col min="3595" max="3840" width="8.7109375" style="244" customWidth="1"/>
    <col min="3841" max="3841" width="6.7109375" style="244" customWidth="1"/>
    <col min="3842" max="3842" width="17.00390625" style="244" customWidth="1"/>
    <col min="3843" max="3843" width="39.28125" style="244" customWidth="1"/>
    <col min="3844" max="3844" width="6.140625" style="244" customWidth="1"/>
    <col min="3845" max="3845" width="8.7109375" style="244" customWidth="1"/>
    <col min="3846" max="3846" width="10.00390625" style="244" customWidth="1"/>
    <col min="3847" max="3847" width="8.421875" style="244" customWidth="1"/>
    <col min="3848" max="3848" width="8.7109375" style="244" customWidth="1"/>
    <col min="3849" max="3849" width="8.28125" style="244" customWidth="1"/>
    <col min="3850" max="3850" width="7.7109375" style="244" customWidth="1"/>
    <col min="3851" max="4096" width="8.7109375" style="244" customWidth="1"/>
    <col min="4097" max="4097" width="6.7109375" style="244" customWidth="1"/>
    <col min="4098" max="4098" width="17.00390625" style="244" customWidth="1"/>
    <col min="4099" max="4099" width="39.28125" style="244" customWidth="1"/>
    <col min="4100" max="4100" width="6.140625" style="244" customWidth="1"/>
    <col min="4101" max="4101" width="8.7109375" style="244" customWidth="1"/>
    <col min="4102" max="4102" width="10.00390625" style="244" customWidth="1"/>
    <col min="4103" max="4103" width="8.421875" style="244" customWidth="1"/>
    <col min="4104" max="4104" width="8.7109375" style="244" customWidth="1"/>
    <col min="4105" max="4105" width="8.28125" style="244" customWidth="1"/>
    <col min="4106" max="4106" width="7.7109375" style="244" customWidth="1"/>
    <col min="4107" max="4352" width="8.7109375" style="244" customWidth="1"/>
    <col min="4353" max="4353" width="6.7109375" style="244" customWidth="1"/>
    <col min="4354" max="4354" width="17.00390625" style="244" customWidth="1"/>
    <col min="4355" max="4355" width="39.28125" style="244" customWidth="1"/>
    <col min="4356" max="4356" width="6.140625" style="244" customWidth="1"/>
    <col min="4357" max="4357" width="8.7109375" style="244" customWidth="1"/>
    <col min="4358" max="4358" width="10.00390625" style="244" customWidth="1"/>
    <col min="4359" max="4359" width="8.421875" style="244" customWidth="1"/>
    <col min="4360" max="4360" width="8.7109375" style="244" customWidth="1"/>
    <col min="4361" max="4361" width="8.28125" style="244" customWidth="1"/>
    <col min="4362" max="4362" width="7.7109375" style="244" customWidth="1"/>
    <col min="4363" max="4608" width="8.7109375" style="244" customWidth="1"/>
    <col min="4609" max="4609" width="6.7109375" style="244" customWidth="1"/>
    <col min="4610" max="4610" width="17.00390625" style="244" customWidth="1"/>
    <col min="4611" max="4611" width="39.28125" style="244" customWidth="1"/>
    <col min="4612" max="4612" width="6.140625" style="244" customWidth="1"/>
    <col min="4613" max="4613" width="8.7109375" style="244" customWidth="1"/>
    <col min="4614" max="4614" width="10.00390625" style="244" customWidth="1"/>
    <col min="4615" max="4615" width="8.421875" style="244" customWidth="1"/>
    <col min="4616" max="4616" width="8.7109375" style="244" customWidth="1"/>
    <col min="4617" max="4617" width="8.28125" style="244" customWidth="1"/>
    <col min="4618" max="4618" width="7.7109375" style="244" customWidth="1"/>
    <col min="4619" max="4864" width="8.7109375" style="244" customWidth="1"/>
    <col min="4865" max="4865" width="6.7109375" style="244" customWidth="1"/>
    <col min="4866" max="4866" width="17.00390625" style="244" customWidth="1"/>
    <col min="4867" max="4867" width="39.28125" style="244" customWidth="1"/>
    <col min="4868" max="4868" width="6.140625" style="244" customWidth="1"/>
    <col min="4869" max="4869" width="8.7109375" style="244" customWidth="1"/>
    <col min="4870" max="4870" width="10.00390625" style="244" customWidth="1"/>
    <col min="4871" max="4871" width="8.421875" style="244" customWidth="1"/>
    <col min="4872" max="4872" width="8.7109375" style="244" customWidth="1"/>
    <col min="4873" max="4873" width="8.28125" style="244" customWidth="1"/>
    <col min="4874" max="4874" width="7.7109375" style="244" customWidth="1"/>
    <col min="4875" max="5120" width="8.7109375" style="244" customWidth="1"/>
    <col min="5121" max="5121" width="6.7109375" style="244" customWidth="1"/>
    <col min="5122" max="5122" width="17.00390625" style="244" customWidth="1"/>
    <col min="5123" max="5123" width="39.28125" style="244" customWidth="1"/>
    <col min="5124" max="5124" width="6.140625" style="244" customWidth="1"/>
    <col min="5125" max="5125" width="8.7109375" style="244" customWidth="1"/>
    <col min="5126" max="5126" width="10.00390625" style="244" customWidth="1"/>
    <col min="5127" max="5127" width="8.421875" style="244" customWidth="1"/>
    <col min="5128" max="5128" width="8.7109375" style="244" customWidth="1"/>
    <col min="5129" max="5129" width="8.28125" style="244" customWidth="1"/>
    <col min="5130" max="5130" width="7.7109375" style="244" customWidth="1"/>
    <col min="5131" max="5376" width="8.7109375" style="244" customWidth="1"/>
    <col min="5377" max="5377" width="6.7109375" style="244" customWidth="1"/>
    <col min="5378" max="5378" width="17.00390625" style="244" customWidth="1"/>
    <col min="5379" max="5379" width="39.28125" style="244" customWidth="1"/>
    <col min="5380" max="5380" width="6.140625" style="244" customWidth="1"/>
    <col min="5381" max="5381" width="8.7109375" style="244" customWidth="1"/>
    <col min="5382" max="5382" width="10.00390625" style="244" customWidth="1"/>
    <col min="5383" max="5383" width="8.421875" style="244" customWidth="1"/>
    <col min="5384" max="5384" width="8.7109375" style="244" customWidth="1"/>
    <col min="5385" max="5385" width="8.28125" style="244" customWidth="1"/>
    <col min="5386" max="5386" width="7.7109375" style="244" customWidth="1"/>
    <col min="5387" max="5632" width="8.7109375" style="244" customWidth="1"/>
    <col min="5633" max="5633" width="6.7109375" style="244" customWidth="1"/>
    <col min="5634" max="5634" width="17.00390625" style="244" customWidth="1"/>
    <col min="5635" max="5635" width="39.28125" style="244" customWidth="1"/>
    <col min="5636" max="5636" width="6.140625" style="244" customWidth="1"/>
    <col min="5637" max="5637" width="8.7109375" style="244" customWidth="1"/>
    <col min="5638" max="5638" width="10.00390625" style="244" customWidth="1"/>
    <col min="5639" max="5639" width="8.421875" style="244" customWidth="1"/>
    <col min="5640" max="5640" width="8.7109375" style="244" customWidth="1"/>
    <col min="5641" max="5641" width="8.28125" style="244" customWidth="1"/>
    <col min="5642" max="5642" width="7.7109375" style="244" customWidth="1"/>
    <col min="5643" max="5888" width="8.7109375" style="244" customWidth="1"/>
    <col min="5889" max="5889" width="6.7109375" style="244" customWidth="1"/>
    <col min="5890" max="5890" width="17.00390625" style="244" customWidth="1"/>
    <col min="5891" max="5891" width="39.28125" style="244" customWidth="1"/>
    <col min="5892" max="5892" width="6.140625" style="244" customWidth="1"/>
    <col min="5893" max="5893" width="8.7109375" style="244" customWidth="1"/>
    <col min="5894" max="5894" width="10.00390625" style="244" customWidth="1"/>
    <col min="5895" max="5895" width="8.421875" style="244" customWidth="1"/>
    <col min="5896" max="5896" width="8.7109375" style="244" customWidth="1"/>
    <col min="5897" max="5897" width="8.28125" style="244" customWidth="1"/>
    <col min="5898" max="5898" width="7.7109375" style="244" customWidth="1"/>
    <col min="5899" max="6144" width="8.7109375" style="244" customWidth="1"/>
    <col min="6145" max="6145" width="6.7109375" style="244" customWidth="1"/>
    <col min="6146" max="6146" width="17.00390625" style="244" customWidth="1"/>
    <col min="6147" max="6147" width="39.28125" style="244" customWidth="1"/>
    <col min="6148" max="6148" width="6.140625" style="244" customWidth="1"/>
    <col min="6149" max="6149" width="8.7109375" style="244" customWidth="1"/>
    <col min="6150" max="6150" width="10.00390625" style="244" customWidth="1"/>
    <col min="6151" max="6151" width="8.421875" style="244" customWidth="1"/>
    <col min="6152" max="6152" width="8.7109375" style="244" customWidth="1"/>
    <col min="6153" max="6153" width="8.28125" style="244" customWidth="1"/>
    <col min="6154" max="6154" width="7.7109375" style="244" customWidth="1"/>
    <col min="6155" max="6400" width="8.7109375" style="244" customWidth="1"/>
    <col min="6401" max="6401" width="6.7109375" style="244" customWidth="1"/>
    <col min="6402" max="6402" width="17.00390625" style="244" customWidth="1"/>
    <col min="6403" max="6403" width="39.28125" style="244" customWidth="1"/>
    <col min="6404" max="6404" width="6.140625" style="244" customWidth="1"/>
    <col min="6405" max="6405" width="8.7109375" style="244" customWidth="1"/>
    <col min="6406" max="6406" width="10.00390625" style="244" customWidth="1"/>
    <col min="6407" max="6407" width="8.421875" style="244" customWidth="1"/>
    <col min="6408" max="6408" width="8.7109375" style="244" customWidth="1"/>
    <col min="6409" max="6409" width="8.28125" style="244" customWidth="1"/>
    <col min="6410" max="6410" width="7.7109375" style="244" customWidth="1"/>
    <col min="6411" max="6656" width="8.7109375" style="244" customWidth="1"/>
    <col min="6657" max="6657" width="6.7109375" style="244" customWidth="1"/>
    <col min="6658" max="6658" width="17.00390625" style="244" customWidth="1"/>
    <col min="6659" max="6659" width="39.28125" style="244" customWidth="1"/>
    <col min="6660" max="6660" width="6.140625" style="244" customWidth="1"/>
    <col min="6661" max="6661" width="8.7109375" style="244" customWidth="1"/>
    <col min="6662" max="6662" width="10.00390625" style="244" customWidth="1"/>
    <col min="6663" max="6663" width="8.421875" style="244" customWidth="1"/>
    <col min="6664" max="6664" width="8.7109375" style="244" customWidth="1"/>
    <col min="6665" max="6665" width="8.28125" style="244" customWidth="1"/>
    <col min="6666" max="6666" width="7.7109375" style="244" customWidth="1"/>
    <col min="6667" max="6912" width="8.7109375" style="244" customWidth="1"/>
    <col min="6913" max="6913" width="6.7109375" style="244" customWidth="1"/>
    <col min="6914" max="6914" width="17.00390625" style="244" customWidth="1"/>
    <col min="6915" max="6915" width="39.28125" style="244" customWidth="1"/>
    <col min="6916" max="6916" width="6.140625" style="244" customWidth="1"/>
    <col min="6917" max="6917" width="8.7109375" style="244" customWidth="1"/>
    <col min="6918" max="6918" width="10.00390625" style="244" customWidth="1"/>
    <col min="6919" max="6919" width="8.421875" style="244" customWidth="1"/>
    <col min="6920" max="6920" width="8.7109375" style="244" customWidth="1"/>
    <col min="6921" max="6921" width="8.28125" style="244" customWidth="1"/>
    <col min="6922" max="6922" width="7.7109375" style="244" customWidth="1"/>
    <col min="6923" max="7168" width="8.7109375" style="244" customWidth="1"/>
    <col min="7169" max="7169" width="6.7109375" style="244" customWidth="1"/>
    <col min="7170" max="7170" width="17.00390625" style="244" customWidth="1"/>
    <col min="7171" max="7171" width="39.28125" style="244" customWidth="1"/>
    <col min="7172" max="7172" width="6.140625" style="244" customWidth="1"/>
    <col min="7173" max="7173" width="8.7109375" style="244" customWidth="1"/>
    <col min="7174" max="7174" width="10.00390625" style="244" customWidth="1"/>
    <col min="7175" max="7175" width="8.421875" style="244" customWidth="1"/>
    <col min="7176" max="7176" width="8.7109375" style="244" customWidth="1"/>
    <col min="7177" max="7177" width="8.28125" style="244" customWidth="1"/>
    <col min="7178" max="7178" width="7.7109375" style="244" customWidth="1"/>
    <col min="7179" max="7424" width="8.7109375" style="244" customWidth="1"/>
    <col min="7425" max="7425" width="6.7109375" style="244" customWidth="1"/>
    <col min="7426" max="7426" width="17.00390625" style="244" customWidth="1"/>
    <col min="7427" max="7427" width="39.28125" style="244" customWidth="1"/>
    <col min="7428" max="7428" width="6.140625" style="244" customWidth="1"/>
    <col min="7429" max="7429" width="8.7109375" style="244" customWidth="1"/>
    <col min="7430" max="7430" width="10.00390625" style="244" customWidth="1"/>
    <col min="7431" max="7431" width="8.421875" style="244" customWidth="1"/>
    <col min="7432" max="7432" width="8.7109375" style="244" customWidth="1"/>
    <col min="7433" max="7433" width="8.28125" style="244" customWidth="1"/>
    <col min="7434" max="7434" width="7.7109375" style="244" customWidth="1"/>
    <col min="7435" max="7680" width="8.7109375" style="244" customWidth="1"/>
    <col min="7681" max="7681" width="6.7109375" style="244" customWidth="1"/>
    <col min="7682" max="7682" width="17.00390625" style="244" customWidth="1"/>
    <col min="7683" max="7683" width="39.28125" style="244" customWidth="1"/>
    <col min="7684" max="7684" width="6.140625" style="244" customWidth="1"/>
    <col min="7685" max="7685" width="8.7109375" style="244" customWidth="1"/>
    <col min="7686" max="7686" width="10.00390625" style="244" customWidth="1"/>
    <col min="7687" max="7687" width="8.421875" style="244" customWidth="1"/>
    <col min="7688" max="7688" width="8.7109375" style="244" customWidth="1"/>
    <col min="7689" max="7689" width="8.28125" style="244" customWidth="1"/>
    <col min="7690" max="7690" width="7.7109375" style="244" customWidth="1"/>
    <col min="7691" max="7936" width="8.7109375" style="244" customWidth="1"/>
    <col min="7937" max="7937" width="6.7109375" style="244" customWidth="1"/>
    <col min="7938" max="7938" width="17.00390625" style="244" customWidth="1"/>
    <col min="7939" max="7939" width="39.28125" style="244" customWidth="1"/>
    <col min="7940" max="7940" width="6.140625" style="244" customWidth="1"/>
    <col min="7941" max="7941" width="8.7109375" style="244" customWidth="1"/>
    <col min="7942" max="7942" width="10.00390625" style="244" customWidth="1"/>
    <col min="7943" max="7943" width="8.421875" style="244" customWidth="1"/>
    <col min="7944" max="7944" width="8.7109375" style="244" customWidth="1"/>
    <col min="7945" max="7945" width="8.28125" style="244" customWidth="1"/>
    <col min="7946" max="7946" width="7.7109375" style="244" customWidth="1"/>
    <col min="7947" max="8192" width="8.7109375" style="244" customWidth="1"/>
    <col min="8193" max="8193" width="6.7109375" style="244" customWidth="1"/>
    <col min="8194" max="8194" width="17.00390625" style="244" customWidth="1"/>
    <col min="8195" max="8195" width="39.28125" style="244" customWidth="1"/>
    <col min="8196" max="8196" width="6.140625" style="244" customWidth="1"/>
    <col min="8197" max="8197" width="8.7109375" style="244" customWidth="1"/>
    <col min="8198" max="8198" width="10.00390625" style="244" customWidth="1"/>
    <col min="8199" max="8199" width="8.421875" style="244" customWidth="1"/>
    <col min="8200" max="8200" width="8.7109375" style="244" customWidth="1"/>
    <col min="8201" max="8201" width="8.28125" style="244" customWidth="1"/>
    <col min="8202" max="8202" width="7.7109375" style="244" customWidth="1"/>
    <col min="8203" max="8448" width="8.7109375" style="244" customWidth="1"/>
    <col min="8449" max="8449" width="6.7109375" style="244" customWidth="1"/>
    <col min="8450" max="8450" width="17.00390625" style="244" customWidth="1"/>
    <col min="8451" max="8451" width="39.28125" style="244" customWidth="1"/>
    <col min="8452" max="8452" width="6.140625" style="244" customWidth="1"/>
    <col min="8453" max="8453" width="8.7109375" style="244" customWidth="1"/>
    <col min="8454" max="8454" width="10.00390625" style="244" customWidth="1"/>
    <col min="8455" max="8455" width="8.421875" style="244" customWidth="1"/>
    <col min="8456" max="8456" width="8.7109375" style="244" customWidth="1"/>
    <col min="8457" max="8457" width="8.28125" style="244" customWidth="1"/>
    <col min="8458" max="8458" width="7.7109375" style="244" customWidth="1"/>
    <col min="8459" max="8704" width="8.7109375" style="244" customWidth="1"/>
    <col min="8705" max="8705" width="6.7109375" style="244" customWidth="1"/>
    <col min="8706" max="8706" width="17.00390625" style="244" customWidth="1"/>
    <col min="8707" max="8707" width="39.28125" style="244" customWidth="1"/>
    <col min="8708" max="8708" width="6.140625" style="244" customWidth="1"/>
    <col min="8709" max="8709" width="8.7109375" style="244" customWidth="1"/>
    <col min="8710" max="8710" width="10.00390625" style="244" customWidth="1"/>
    <col min="8711" max="8711" width="8.421875" style="244" customWidth="1"/>
    <col min="8712" max="8712" width="8.7109375" style="244" customWidth="1"/>
    <col min="8713" max="8713" width="8.28125" style="244" customWidth="1"/>
    <col min="8714" max="8714" width="7.7109375" style="244" customWidth="1"/>
    <col min="8715" max="8960" width="8.7109375" style="244" customWidth="1"/>
    <col min="8961" max="8961" width="6.7109375" style="244" customWidth="1"/>
    <col min="8962" max="8962" width="17.00390625" style="244" customWidth="1"/>
    <col min="8963" max="8963" width="39.28125" style="244" customWidth="1"/>
    <col min="8964" max="8964" width="6.140625" style="244" customWidth="1"/>
    <col min="8965" max="8965" width="8.7109375" style="244" customWidth="1"/>
    <col min="8966" max="8966" width="10.00390625" style="244" customWidth="1"/>
    <col min="8967" max="8967" width="8.421875" style="244" customWidth="1"/>
    <col min="8968" max="8968" width="8.7109375" style="244" customWidth="1"/>
    <col min="8969" max="8969" width="8.28125" style="244" customWidth="1"/>
    <col min="8970" max="8970" width="7.7109375" style="244" customWidth="1"/>
    <col min="8971" max="9216" width="8.7109375" style="244" customWidth="1"/>
    <col min="9217" max="9217" width="6.7109375" style="244" customWidth="1"/>
    <col min="9218" max="9218" width="17.00390625" style="244" customWidth="1"/>
    <col min="9219" max="9219" width="39.28125" style="244" customWidth="1"/>
    <col min="9220" max="9220" width="6.140625" style="244" customWidth="1"/>
    <col min="9221" max="9221" width="8.7109375" style="244" customWidth="1"/>
    <col min="9222" max="9222" width="10.00390625" style="244" customWidth="1"/>
    <col min="9223" max="9223" width="8.421875" style="244" customWidth="1"/>
    <col min="9224" max="9224" width="8.7109375" style="244" customWidth="1"/>
    <col min="9225" max="9225" width="8.28125" style="244" customWidth="1"/>
    <col min="9226" max="9226" width="7.7109375" style="244" customWidth="1"/>
    <col min="9227" max="9472" width="8.7109375" style="244" customWidth="1"/>
    <col min="9473" max="9473" width="6.7109375" style="244" customWidth="1"/>
    <col min="9474" max="9474" width="17.00390625" style="244" customWidth="1"/>
    <col min="9475" max="9475" width="39.28125" style="244" customWidth="1"/>
    <col min="9476" max="9476" width="6.140625" style="244" customWidth="1"/>
    <col min="9477" max="9477" width="8.7109375" style="244" customWidth="1"/>
    <col min="9478" max="9478" width="10.00390625" style="244" customWidth="1"/>
    <col min="9479" max="9479" width="8.421875" style="244" customWidth="1"/>
    <col min="9480" max="9480" width="8.7109375" style="244" customWidth="1"/>
    <col min="9481" max="9481" width="8.28125" style="244" customWidth="1"/>
    <col min="9482" max="9482" width="7.7109375" style="244" customWidth="1"/>
    <col min="9483" max="9728" width="8.7109375" style="244" customWidth="1"/>
    <col min="9729" max="9729" width="6.7109375" style="244" customWidth="1"/>
    <col min="9730" max="9730" width="17.00390625" style="244" customWidth="1"/>
    <col min="9731" max="9731" width="39.28125" style="244" customWidth="1"/>
    <col min="9732" max="9732" width="6.140625" style="244" customWidth="1"/>
    <col min="9733" max="9733" width="8.7109375" style="244" customWidth="1"/>
    <col min="9734" max="9734" width="10.00390625" style="244" customWidth="1"/>
    <col min="9735" max="9735" width="8.421875" style="244" customWidth="1"/>
    <col min="9736" max="9736" width="8.7109375" style="244" customWidth="1"/>
    <col min="9737" max="9737" width="8.28125" style="244" customWidth="1"/>
    <col min="9738" max="9738" width="7.7109375" style="244" customWidth="1"/>
    <col min="9739" max="9984" width="8.7109375" style="244" customWidth="1"/>
    <col min="9985" max="9985" width="6.7109375" style="244" customWidth="1"/>
    <col min="9986" max="9986" width="17.00390625" style="244" customWidth="1"/>
    <col min="9987" max="9987" width="39.28125" style="244" customWidth="1"/>
    <col min="9988" max="9988" width="6.140625" style="244" customWidth="1"/>
    <col min="9989" max="9989" width="8.7109375" style="244" customWidth="1"/>
    <col min="9990" max="9990" width="10.00390625" style="244" customWidth="1"/>
    <col min="9991" max="9991" width="8.421875" style="244" customWidth="1"/>
    <col min="9992" max="9992" width="8.7109375" style="244" customWidth="1"/>
    <col min="9993" max="9993" width="8.28125" style="244" customWidth="1"/>
    <col min="9994" max="9994" width="7.7109375" style="244" customWidth="1"/>
    <col min="9995" max="10240" width="8.7109375" style="244" customWidth="1"/>
    <col min="10241" max="10241" width="6.7109375" style="244" customWidth="1"/>
    <col min="10242" max="10242" width="17.00390625" style="244" customWidth="1"/>
    <col min="10243" max="10243" width="39.28125" style="244" customWidth="1"/>
    <col min="10244" max="10244" width="6.140625" style="244" customWidth="1"/>
    <col min="10245" max="10245" width="8.7109375" style="244" customWidth="1"/>
    <col min="10246" max="10246" width="10.00390625" style="244" customWidth="1"/>
    <col min="10247" max="10247" width="8.421875" style="244" customWidth="1"/>
    <col min="10248" max="10248" width="8.7109375" style="244" customWidth="1"/>
    <col min="10249" max="10249" width="8.28125" style="244" customWidth="1"/>
    <col min="10250" max="10250" width="7.7109375" style="244" customWidth="1"/>
    <col min="10251" max="10496" width="8.7109375" style="244" customWidth="1"/>
    <col min="10497" max="10497" width="6.7109375" style="244" customWidth="1"/>
    <col min="10498" max="10498" width="17.00390625" style="244" customWidth="1"/>
    <col min="10499" max="10499" width="39.28125" style="244" customWidth="1"/>
    <col min="10500" max="10500" width="6.140625" style="244" customWidth="1"/>
    <col min="10501" max="10501" width="8.7109375" style="244" customWidth="1"/>
    <col min="10502" max="10502" width="10.00390625" style="244" customWidth="1"/>
    <col min="10503" max="10503" width="8.421875" style="244" customWidth="1"/>
    <col min="10504" max="10504" width="8.7109375" style="244" customWidth="1"/>
    <col min="10505" max="10505" width="8.28125" style="244" customWidth="1"/>
    <col min="10506" max="10506" width="7.7109375" style="244" customWidth="1"/>
    <col min="10507" max="10752" width="8.7109375" style="244" customWidth="1"/>
    <col min="10753" max="10753" width="6.7109375" style="244" customWidth="1"/>
    <col min="10754" max="10754" width="17.00390625" style="244" customWidth="1"/>
    <col min="10755" max="10755" width="39.28125" style="244" customWidth="1"/>
    <col min="10756" max="10756" width="6.140625" style="244" customWidth="1"/>
    <col min="10757" max="10757" width="8.7109375" style="244" customWidth="1"/>
    <col min="10758" max="10758" width="10.00390625" style="244" customWidth="1"/>
    <col min="10759" max="10759" width="8.421875" style="244" customWidth="1"/>
    <col min="10760" max="10760" width="8.7109375" style="244" customWidth="1"/>
    <col min="10761" max="10761" width="8.28125" style="244" customWidth="1"/>
    <col min="10762" max="10762" width="7.7109375" style="244" customWidth="1"/>
    <col min="10763" max="11008" width="8.7109375" style="244" customWidth="1"/>
    <col min="11009" max="11009" width="6.7109375" style="244" customWidth="1"/>
    <col min="11010" max="11010" width="17.00390625" style="244" customWidth="1"/>
    <col min="11011" max="11011" width="39.28125" style="244" customWidth="1"/>
    <col min="11012" max="11012" width="6.140625" style="244" customWidth="1"/>
    <col min="11013" max="11013" width="8.7109375" style="244" customWidth="1"/>
    <col min="11014" max="11014" width="10.00390625" style="244" customWidth="1"/>
    <col min="11015" max="11015" width="8.421875" style="244" customWidth="1"/>
    <col min="11016" max="11016" width="8.7109375" style="244" customWidth="1"/>
    <col min="11017" max="11017" width="8.28125" style="244" customWidth="1"/>
    <col min="11018" max="11018" width="7.7109375" style="244" customWidth="1"/>
    <col min="11019" max="11264" width="8.7109375" style="244" customWidth="1"/>
    <col min="11265" max="11265" width="6.7109375" style="244" customWidth="1"/>
    <col min="11266" max="11266" width="17.00390625" style="244" customWidth="1"/>
    <col min="11267" max="11267" width="39.28125" style="244" customWidth="1"/>
    <col min="11268" max="11268" width="6.140625" style="244" customWidth="1"/>
    <col min="11269" max="11269" width="8.7109375" style="244" customWidth="1"/>
    <col min="11270" max="11270" width="10.00390625" style="244" customWidth="1"/>
    <col min="11271" max="11271" width="8.421875" style="244" customWidth="1"/>
    <col min="11272" max="11272" width="8.7109375" style="244" customWidth="1"/>
    <col min="11273" max="11273" width="8.28125" style="244" customWidth="1"/>
    <col min="11274" max="11274" width="7.7109375" style="244" customWidth="1"/>
    <col min="11275" max="11520" width="8.7109375" style="244" customWidth="1"/>
    <col min="11521" max="11521" width="6.7109375" style="244" customWidth="1"/>
    <col min="11522" max="11522" width="17.00390625" style="244" customWidth="1"/>
    <col min="11523" max="11523" width="39.28125" style="244" customWidth="1"/>
    <col min="11524" max="11524" width="6.140625" style="244" customWidth="1"/>
    <col min="11525" max="11525" width="8.7109375" style="244" customWidth="1"/>
    <col min="11526" max="11526" width="10.00390625" style="244" customWidth="1"/>
    <col min="11527" max="11527" width="8.421875" style="244" customWidth="1"/>
    <col min="11528" max="11528" width="8.7109375" style="244" customWidth="1"/>
    <col min="11529" max="11529" width="8.28125" style="244" customWidth="1"/>
    <col min="11530" max="11530" width="7.7109375" style="244" customWidth="1"/>
    <col min="11531" max="11776" width="8.7109375" style="244" customWidth="1"/>
    <col min="11777" max="11777" width="6.7109375" style="244" customWidth="1"/>
    <col min="11778" max="11778" width="17.00390625" style="244" customWidth="1"/>
    <col min="11779" max="11779" width="39.28125" style="244" customWidth="1"/>
    <col min="11780" max="11780" width="6.140625" style="244" customWidth="1"/>
    <col min="11781" max="11781" width="8.7109375" style="244" customWidth="1"/>
    <col min="11782" max="11782" width="10.00390625" style="244" customWidth="1"/>
    <col min="11783" max="11783" width="8.421875" style="244" customWidth="1"/>
    <col min="11784" max="11784" width="8.7109375" style="244" customWidth="1"/>
    <col min="11785" max="11785" width="8.28125" style="244" customWidth="1"/>
    <col min="11786" max="11786" width="7.7109375" style="244" customWidth="1"/>
    <col min="11787" max="12032" width="8.7109375" style="244" customWidth="1"/>
    <col min="12033" max="12033" width="6.7109375" style="244" customWidth="1"/>
    <col min="12034" max="12034" width="17.00390625" style="244" customWidth="1"/>
    <col min="12035" max="12035" width="39.28125" style="244" customWidth="1"/>
    <col min="12036" max="12036" width="6.140625" style="244" customWidth="1"/>
    <col min="12037" max="12037" width="8.7109375" style="244" customWidth="1"/>
    <col min="12038" max="12038" width="10.00390625" style="244" customWidth="1"/>
    <col min="12039" max="12039" width="8.421875" style="244" customWidth="1"/>
    <col min="12040" max="12040" width="8.7109375" style="244" customWidth="1"/>
    <col min="12041" max="12041" width="8.28125" style="244" customWidth="1"/>
    <col min="12042" max="12042" width="7.7109375" style="244" customWidth="1"/>
    <col min="12043" max="12288" width="8.7109375" style="244" customWidth="1"/>
    <col min="12289" max="12289" width="6.7109375" style="244" customWidth="1"/>
    <col min="12290" max="12290" width="17.00390625" style="244" customWidth="1"/>
    <col min="12291" max="12291" width="39.28125" style="244" customWidth="1"/>
    <col min="12292" max="12292" width="6.140625" style="244" customWidth="1"/>
    <col min="12293" max="12293" width="8.7109375" style="244" customWidth="1"/>
    <col min="12294" max="12294" width="10.00390625" style="244" customWidth="1"/>
    <col min="12295" max="12295" width="8.421875" style="244" customWidth="1"/>
    <col min="12296" max="12296" width="8.7109375" style="244" customWidth="1"/>
    <col min="12297" max="12297" width="8.28125" style="244" customWidth="1"/>
    <col min="12298" max="12298" width="7.7109375" style="244" customWidth="1"/>
    <col min="12299" max="12544" width="8.7109375" style="244" customWidth="1"/>
    <col min="12545" max="12545" width="6.7109375" style="244" customWidth="1"/>
    <col min="12546" max="12546" width="17.00390625" style="244" customWidth="1"/>
    <col min="12547" max="12547" width="39.28125" style="244" customWidth="1"/>
    <col min="12548" max="12548" width="6.140625" style="244" customWidth="1"/>
    <col min="12549" max="12549" width="8.7109375" style="244" customWidth="1"/>
    <col min="12550" max="12550" width="10.00390625" style="244" customWidth="1"/>
    <col min="12551" max="12551" width="8.421875" style="244" customWidth="1"/>
    <col min="12552" max="12552" width="8.7109375" style="244" customWidth="1"/>
    <col min="12553" max="12553" width="8.28125" style="244" customWidth="1"/>
    <col min="12554" max="12554" width="7.7109375" style="244" customWidth="1"/>
    <col min="12555" max="12800" width="8.7109375" style="244" customWidth="1"/>
    <col min="12801" max="12801" width="6.7109375" style="244" customWidth="1"/>
    <col min="12802" max="12802" width="17.00390625" style="244" customWidth="1"/>
    <col min="12803" max="12803" width="39.28125" style="244" customWidth="1"/>
    <col min="12804" max="12804" width="6.140625" style="244" customWidth="1"/>
    <col min="12805" max="12805" width="8.7109375" style="244" customWidth="1"/>
    <col min="12806" max="12806" width="10.00390625" style="244" customWidth="1"/>
    <col min="12807" max="12807" width="8.421875" style="244" customWidth="1"/>
    <col min="12808" max="12808" width="8.7109375" style="244" customWidth="1"/>
    <col min="12809" max="12809" width="8.28125" style="244" customWidth="1"/>
    <col min="12810" max="12810" width="7.7109375" style="244" customWidth="1"/>
    <col min="12811" max="13056" width="8.7109375" style="244" customWidth="1"/>
    <col min="13057" max="13057" width="6.7109375" style="244" customWidth="1"/>
    <col min="13058" max="13058" width="17.00390625" style="244" customWidth="1"/>
    <col min="13059" max="13059" width="39.28125" style="244" customWidth="1"/>
    <col min="13060" max="13060" width="6.140625" style="244" customWidth="1"/>
    <col min="13061" max="13061" width="8.7109375" style="244" customWidth="1"/>
    <col min="13062" max="13062" width="10.00390625" style="244" customWidth="1"/>
    <col min="13063" max="13063" width="8.421875" style="244" customWidth="1"/>
    <col min="13064" max="13064" width="8.7109375" style="244" customWidth="1"/>
    <col min="13065" max="13065" width="8.28125" style="244" customWidth="1"/>
    <col min="13066" max="13066" width="7.7109375" style="244" customWidth="1"/>
    <col min="13067" max="13312" width="8.7109375" style="244" customWidth="1"/>
    <col min="13313" max="13313" width="6.7109375" style="244" customWidth="1"/>
    <col min="13314" max="13314" width="17.00390625" style="244" customWidth="1"/>
    <col min="13315" max="13315" width="39.28125" style="244" customWidth="1"/>
    <col min="13316" max="13316" width="6.140625" style="244" customWidth="1"/>
    <col min="13317" max="13317" width="8.7109375" style="244" customWidth="1"/>
    <col min="13318" max="13318" width="10.00390625" style="244" customWidth="1"/>
    <col min="13319" max="13319" width="8.421875" style="244" customWidth="1"/>
    <col min="13320" max="13320" width="8.7109375" style="244" customWidth="1"/>
    <col min="13321" max="13321" width="8.28125" style="244" customWidth="1"/>
    <col min="13322" max="13322" width="7.7109375" style="244" customWidth="1"/>
    <col min="13323" max="13568" width="8.7109375" style="244" customWidth="1"/>
    <col min="13569" max="13569" width="6.7109375" style="244" customWidth="1"/>
    <col min="13570" max="13570" width="17.00390625" style="244" customWidth="1"/>
    <col min="13571" max="13571" width="39.28125" style="244" customWidth="1"/>
    <col min="13572" max="13572" width="6.140625" style="244" customWidth="1"/>
    <col min="13573" max="13573" width="8.7109375" style="244" customWidth="1"/>
    <col min="13574" max="13574" width="10.00390625" style="244" customWidth="1"/>
    <col min="13575" max="13575" width="8.421875" style="244" customWidth="1"/>
    <col min="13576" max="13576" width="8.7109375" style="244" customWidth="1"/>
    <col min="13577" max="13577" width="8.28125" style="244" customWidth="1"/>
    <col min="13578" max="13578" width="7.7109375" style="244" customWidth="1"/>
    <col min="13579" max="13824" width="8.7109375" style="244" customWidth="1"/>
    <col min="13825" max="13825" width="6.7109375" style="244" customWidth="1"/>
    <col min="13826" max="13826" width="17.00390625" style="244" customWidth="1"/>
    <col min="13827" max="13827" width="39.28125" style="244" customWidth="1"/>
    <col min="13828" max="13828" width="6.140625" style="244" customWidth="1"/>
    <col min="13829" max="13829" width="8.7109375" style="244" customWidth="1"/>
    <col min="13830" max="13830" width="10.00390625" style="244" customWidth="1"/>
    <col min="13831" max="13831" width="8.421875" style="244" customWidth="1"/>
    <col min="13832" max="13832" width="8.7109375" style="244" customWidth="1"/>
    <col min="13833" max="13833" width="8.28125" style="244" customWidth="1"/>
    <col min="13834" max="13834" width="7.7109375" style="244" customWidth="1"/>
    <col min="13835" max="14080" width="8.7109375" style="244" customWidth="1"/>
    <col min="14081" max="14081" width="6.7109375" style="244" customWidth="1"/>
    <col min="14082" max="14082" width="17.00390625" style="244" customWidth="1"/>
    <col min="14083" max="14083" width="39.28125" style="244" customWidth="1"/>
    <col min="14084" max="14084" width="6.140625" style="244" customWidth="1"/>
    <col min="14085" max="14085" width="8.7109375" style="244" customWidth="1"/>
    <col min="14086" max="14086" width="10.00390625" style="244" customWidth="1"/>
    <col min="14087" max="14087" width="8.421875" style="244" customWidth="1"/>
    <col min="14088" max="14088" width="8.7109375" style="244" customWidth="1"/>
    <col min="14089" max="14089" width="8.28125" style="244" customWidth="1"/>
    <col min="14090" max="14090" width="7.7109375" style="244" customWidth="1"/>
    <col min="14091" max="14336" width="8.7109375" style="244" customWidth="1"/>
    <col min="14337" max="14337" width="6.7109375" style="244" customWidth="1"/>
    <col min="14338" max="14338" width="17.00390625" style="244" customWidth="1"/>
    <col min="14339" max="14339" width="39.28125" style="244" customWidth="1"/>
    <col min="14340" max="14340" width="6.140625" style="244" customWidth="1"/>
    <col min="14341" max="14341" width="8.7109375" style="244" customWidth="1"/>
    <col min="14342" max="14342" width="10.00390625" style="244" customWidth="1"/>
    <col min="14343" max="14343" width="8.421875" style="244" customWidth="1"/>
    <col min="14344" max="14344" width="8.7109375" style="244" customWidth="1"/>
    <col min="14345" max="14345" width="8.28125" style="244" customWidth="1"/>
    <col min="14346" max="14346" width="7.7109375" style="244" customWidth="1"/>
    <col min="14347" max="14592" width="8.7109375" style="244" customWidth="1"/>
    <col min="14593" max="14593" width="6.7109375" style="244" customWidth="1"/>
    <col min="14594" max="14594" width="17.00390625" style="244" customWidth="1"/>
    <col min="14595" max="14595" width="39.28125" style="244" customWidth="1"/>
    <col min="14596" max="14596" width="6.140625" style="244" customWidth="1"/>
    <col min="14597" max="14597" width="8.7109375" style="244" customWidth="1"/>
    <col min="14598" max="14598" width="10.00390625" style="244" customWidth="1"/>
    <col min="14599" max="14599" width="8.421875" style="244" customWidth="1"/>
    <col min="14600" max="14600" width="8.7109375" style="244" customWidth="1"/>
    <col min="14601" max="14601" width="8.28125" style="244" customWidth="1"/>
    <col min="14602" max="14602" width="7.7109375" style="244" customWidth="1"/>
    <col min="14603" max="14848" width="8.7109375" style="244" customWidth="1"/>
    <col min="14849" max="14849" width="6.7109375" style="244" customWidth="1"/>
    <col min="14850" max="14850" width="17.00390625" style="244" customWidth="1"/>
    <col min="14851" max="14851" width="39.28125" style="244" customWidth="1"/>
    <col min="14852" max="14852" width="6.140625" style="244" customWidth="1"/>
    <col min="14853" max="14853" width="8.7109375" style="244" customWidth="1"/>
    <col min="14854" max="14854" width="10.00390625" style="244" customWidth="1"/>
    <col min="14855" max="14855" width="8.421875" style="244" customWidth="1"/>
    <col min="14856" max="14856" width="8.7109375" style="244" customWidth="1"/>
    <col min="14857" max="14857" width="8.28125" style="244" customWidth="1"/>
    <col min="14858" max="14858" width="7.7109375" style="244" customWidth="1"/>
    <col min="14859" max="15104" width="8.7109375" style="244" customWidth="1"/>
    <col min="15105" max="15105" width="6.7109375" style="244" customWidth="1"/>
    <col min="15106" max="15106" width="17.00390625" style="244" customWidth="1"/>
    <col min="15107" max="15107" width="39.28125" style="244" customWidth="1"/>
    <col min="15108" max="15108" width="6.140625" style="244" customWidth="1"/>
    <col min="15109" max="15109" width="8.7109375" style="244" customWidth="1"/>
    <col min="15110" max="15110" width="10.00390625" style="244" customWidth="1"/>
    <col min="15111" max="15111" width="8.421875" style="244" customWidth="1"/>
    <col min="15112" max="15112" width="8.7109375" style="244" customWidth="1"/>
    <col min="15113" max="15113" width="8.28125" style="244" customWidth="1"/>
    <col min="15114" max="15114" width="7.7109375" style="244" customWidth="1"/>
    <col min="15115" max="15360" width="8.7109375" style="244" customWidth="1"/>
    <col min="15361" max="15361" width="6.7109375" style="244" customWidth="1"/>
    <col min="15362" max="15362" width="17.00390625" style="244" customWidth="1"/>
    <col min="15363" max="15363" width="39.28125" style="244" customWidth="1"/>
    <col min="15364" max="15364" width="6.140625" style="244" customWidth="1"/>
    <col min="15365" max="15365" width="8.7109375" style="244" customWidth="1"/>
    <col min="15366" max="15366" width="10.00390625" style="244" customWidth="1"/>
    <col min="15367" max="15367" width="8.421875" style="244" customWidth="1"/>
    <col min="15368" max="15368" width="8.7109375" style="244" customWidth="1"/>
    <col min="15369" max="15369" width="8.28125" style="244" customWidth="1"/>
    <col min="15370" max="15370" width="7.7109375" style="244" customWidth="1"/>
    <col min="15371" max="15616" width="8.7109375" style="244" customWidth="1"/>
    <col min="15617" max="15617" width="6.7109375" style="244" customWidth="1"/>
    <col min="15618" max="15618" width="17.00390625" style="244" customWidth="1"/>
    <col min="15619" max="15619" width="39.28125" style="244" customWidth="1"/>
    <col min="15620" max="15620" width="6.140625" style="244" customWidth="1"/>
    <col min="15621" max="15621" width="8.7109375" style="244" customWidth="1"/>
    <col min="15622" max="15622" width="10.00390625" style="244" customWidth="1"/>
    <col min="15623" max="15623" width="8.421875" style="244" customWidth="1"/>
    <col min="15624" max="15624" width="8.7109375" style="244" customWidth="1"/>
    <col min="15625" max="15625" width="8.28125" style="244" customWidth="1"/>
    <col min="15626" max="15626" width="7.7109375" style="244" customWidth="1"/>
    <col min="15627" max="15872" width="8.7109375" style="244" customWidth="1"/>
    <col min="15873" max="15873" width="6.7109375" style="244" customWidth="1"/>
    <col min="15874" max="15874" width="17.00390625" style="244" customWidth="1"/>
    <col min="15875" max="15875" width="39.28125" style="244" customWidth="1"/>
    <col min="15876" max="15876" width="6.140625" style="244" customWidth="1"/>
    <col min="15877" max="15877" width="8.7109375" style="244" customWidth="1"/>
    <col min="15878" max="15878" width="10.00390625" style="244" customWidth="1"/>
    <col min="15879" max="15879" width="8.421875" style="244" customWidth="1"/>
    <col min="15880" max="15880" width="8.7109375" style="244" customWidth="1"/>
    <col min="15881" max="15881" width="8.28125" style="244" customWidth="1"/>
    <col min="15882" max="15882" width="7.7109375" style="244" customWidth="1"/>
    <col min="15883" max="16128" width="8.7109375" style="244" customWidth="1"/>
    <col min="16129" max="16129" width="6.7109375" style="244" customWidth="1"/>
    <col min="16130" max="16130" width="17.00390625" style="244" customWidth="1"/>
    <col min="16131" max="16131" width="39.28125" style="244" customWidth="1"/>
    <col min="16132" max="16132" width="6.140625" style="244" customWidth="1"/>
    <col min="16133" max="16133" width="8.7109375" style="244" customWidth="1"/>
    <col min="16134" max="16134" width="10.00390625" style="244" customWidth="1"/>
    <col min="16135" max="16135" width="8.421875" style="244" customWidth="1"/>
    <col min="16136" max="16136" width="8.7109375" style="244" customWidth="1"/>
    <col min="16137" max="16137" width="8.28125" style="244" customWidth="1"/>
    <col min="16138" max="16138" width="7.7109375" style="244" customWidth="1"/>
    <col min="16139" max="16384" width="8.7109375" style="244" customWidth="1"/>
  </cols>
  <sheetData>
    <row r="1" spans="1:10" ht="15">
      <c r="A1" s="243"/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5">
      <c r="A2" s="243" t="s">
        <v>1103</v>
      </c>
      <c r="B2" s="243" t="s">
        <v>1104</v>
      </c>
      <c r="C2" s="243" t="s">
        <v>1187</v>
      </c>
      <c r="D2" s="243"/>
      <c r="E2" s="243"/>
      <c r="F2" s="243" t="s">
        <v>1106</v>
      </c>
      <c r="G2" s="243" t="s">
        <v>1107</v>
      </c>
      <c r="H2" s="243" t="s">
        <v>1188</v>
      </c>
      <c r="I2" s="243"/>
      <c r="J2" s="243"/>
    </row>
    <row r="3" spans="1:10" ht="15">
      <c r="A3" s="243" t="s">
        <v>1103</v>
      </c>
      <c r="B3" s="243" t="s">
        <v>1109</v>
      </c>
      <c r="C3" s="243" t="s">
        <v>1189</v>
      </c>
      <c r="D3" s="243"/>
      <c r="E3" s="243"/>
      <c r="F3" s="243" t="s">
        <v>1111</v>
      </c>
      <c r="G3" s="243" t="s">
        <v>1112</v>
      </c>
      <c r="H3" s="243" t="s">
        <v>1190</v>
      </c>
      <c r="I3" s="243"/>
      <c r="J3" s="243"/>
    </row>
    <row r="4" spans="1:10" ht="15">
      <c r="A4" s="243"/>
      <c r="B4" s="243"/>
      <c r="C4" s="243"/>
      <c r="D4" s="243"/>
      <c r="E4" s="243"/>
      <c r="F4" s="243"/>
      <c r="G4" s="243"/>
      <c r="H4" s="243"/>
      <c r="I4" s="243"/>
      <c r="J4" s="243"/>
    </row>
    <row r="5" spans="1:10" ht="21">
      <c r="A5" s="243" t="s">
        <v>1191</v>
      </c>
      <c r="B5" s="243" t="s">
        <v>1114</v>
      </c>
      <c r="C5" s="243" t="s">
        <v>1115</v>
      </c>
      <c r="D5" s="245" t="s">
        <v>1116</v>
      </c>
      <c r="E5" s="245" t="s">
        <v>1117</v>
      </c>
      <c r="F5" s="245" t="s">
        <v>1118</v>
      </c>
      <c r="G5" s="245" t="s">
        <v>1119</v>
      </c>
      <c r="H5" s="245" t="s">
        <v>1120</v>
      </c>
      <c r="I5" s="245" t="s">
        <v>1192</v>
      </c>
      <c r="J5" s="245" t="s">
        <v>1193</v>
      </c>
    </row>
    <row r="6" spans="1:10" ht="15">
      <c r="A6" s="243"/>
      <c r="B6" s="243"/>
      <c r="C6" s="243"/>
      <c r="D6" s="243"/>
      <c r="E6" s="243"/>
      <c r="F6" s="243"/>
      <c r="G6" s="243"/>
      <c r="H6" s="243"/>
      <c r="I6" s="243"/>
      <c r="J6" s="243"/>
    </row>
    <row r="7" spans="1:10" ht="15">
      <c r="A7" s="243" t="s">
        <v>1194</v>
      </c>
      <c r="B7" s="243" t="s">
        <v>1195</v>
      </c>
      <c r="C7" s="243" t="s">
        <v>1196</v>
      </c>
      <c r="D7" s="243"/>
      <c r="E7" s="243"/>
      <c r="F7" s="243"/>
      <c r="G7" s="243"/>
      <c r="H7" s="243"/>
      <c r="I7" s="243"/>
      <c r="J7" s="243"/>
    </row>
    <row r="8" spans="1:10" ht="15">
      <c r="A8" s="243"/>
      <c r="B8" s="243"/>
      <c r="C8" s="243"/>
      <c r="D8" s="243"/>
      <c r="E8" s="243"/>
      <c r="F8" s="243"/>
      <c r="G8" s="243"/>
      <c r="H8" s="243"/>
      <c r="I8" s="243"/>
      <c r="J8" s="243"/>
    </row>
    <row r="9" spans="1:10" ht="15">
      <c r="A9" s="243"/>
      <c r="B9" s="243" t="s">
        <v>1197</v>
      </c>
      <c r="C9" s="245" t="s">
        <v>1198</v>
      </c>
      <c r="D9" s="243"/>
      <c r="E9" s="243"/>
      <c r="F9" s="243"/>
      <c r="G9" s="243"/>
      <c r="H9" s="243"/>
      <c r="I9" s="243"/>
      <c r="J9" s="419"/>
    </row>
    <row r="10" spans="1:10" ht="15">
      <c r="A10" s="243">
        <v>1</v>
      </c>
      <c r="B10" s="243" t="s">
        <v>1199</v>
      </c>
      <c r="C10" s="245" t="s">
        <v>1200</v>
      </c>
      <c r="D10" s="243" t="s">
        <v>1201</v>
      </c>
      <c r="E10" s="249">
        <v>6</v>
      </c>
      <c r="F10" s="418"/>
      <c r="G10" s="249">
        <f aca="true" t="shared" si="0" ref="G10:G27">E10*F10</f>
        <v>0</v>
      </c>
      <c r="H10" s="249"/>
      <c r="I10" s="249"/>
      <c r="J10" s="418"/>
    </row>
    <row r="11" spans="1:10" ht="21">
      <c r="A11" s="243">
        <v>2</v>
      </c>
      <c r="B11" s="243" t="s">
        <v>1202</v>
      </c>
      <c r="C11" s="245" t="s">
        <v>1203</v>
      </c>
      <c r="D11" s="243" t="s">
        <v>1201</v>
      </c>
      <c r="E11" s="249">
        <v>6</v>
      </c>
      <c r="F11" s="418"/>
      <c r="G11" s="249">
        <f t="shared" si="0"/>
        <v>0</v>
      </c>
      <c r="H11" s="249"/>
      <c r="I11" s="249"/>
      <c r="J11" s="418"/>
    </row>
    <row r="12" spans="1:10" ht="41.4">
      <c r="A12" s="243">
        <v>3</v>
      </c>
      <c r="B12" s="243" t="s">
        <v>1204</v>
      </c>
      <c r="C12" s="245" t="s">
        <v>1205</v>
      </c>
      <c r="D12" s="243" t="s">
        <v>1201</v>
      </c>
      <c r="E12" s="249">
        <v>42</v>
      </c>
      <c r="F12" s="418"/>
      <c r="G12" s="249">
        <f t="shared" si="0"/>
        <v>0</v>
      </c>
      <c r="H12" s="249"/>
      <c r="I12" s="249">
        <v>0.1</v>
      </c>
      <c r="J12" s="418"/>
    </row>
    <row r="13" spans="1:10" ht="15">
      <c r="A13" s="243">
        <v>4</v>
      </c>
      <c r="B13" s="243" t="s">
        <v>1206</v>
      </c>
      <c r="C13" s="245" t="s">
        <v>1207</v>
      </c>
      <c r="D13" s="243" t="s">
        <v>1208</v>
      </c>
      <c r="E13" s="249">
        <v>18</v>
      </c>
      <c r="F13" s="418"/>
      <c r="G13" s="249">
        <f t="shared" si="0"/>
        <v>0</v>
      </c>
      <c r="H13" s="249"/>
      <c r="I13" s="249">
        <v>0.001</v>
      </c>
      <c r="J13" s="418"/>
    </row>
    <row r="14" spans="1:10" ht="21">
      <c r="A14" s="243">
        <v>5</v>
      </c>
      <c r="B14" s="243" t="s">
        <v>1209</v>
      </c>
      <c r="C14" s="245" t="s">
        <v>1210</v>
      </c>
      <c r="D14" s="243" t="s">
        <v>1211</v>
      </c>
      <c r="E14" s="249">
        <v>34</v>
      </c>
      <c r="F14" s="418"/>
      <c r="G14" s="249">
        <f t="shared" si="0"/>
        <v>0</v>
      </c>
      <c r="H14" s="249"/>
      <c r="I14" s="249">
        <v>0.001</v>
      </c>
      <c r="J14" s="418"/>
    </row>
    <row r="15" spans="1:10" ht="15">
      <c r="A15" s="243">
        <v>6</v>
      </c>
      <c r="B15" s="243" t="s">
        <v>1212</v>
      </c>
      <c r="C15" s="245" t="s">
        <v>1213</v>
      </c>
      <c r="D15" s="243" t="s">
        <v>847</v>
      </c>
      <c r="E15" s="249">
        <v>62</v>
      </c>
      <c r="F15" s="418"/>
      <c r="G15" s="249">
        <f t="shared" si="0"/>
        <v>0</v>
      </c>
      <c r="H15" s="249"/>
      <c r="I15" s="249">
        <v>0.001</v>
      </c>
      <c r="J15" s="418"/>
    </row>
    <row r="16" spans="1:10" ht="15">
      <c r="A16" s="243">
        <v>7</v>
      </c>
      <c r="B16" s="243" t="s">
        <v>1214</v>
      </c>
      <c r="C16" s="245" t="s">
        <v>1215</v>
      </c>
      <c r="D16" s="243" t="s">
        <v>847</v>
      </c>
      <c r="E16" s="249">
        <v>64</v>
      </c>
      <c r="F16" s="418"/>
      <c r="G16" s="249">
        <f t="shared" si="0"/>
        <v>0</v>
      </c>
      <c r="H16" s="249"/>
      <c r="I16" s="249">
        <v>0.002</v>
      </c>
      <c r="J16" s="418"/>
    </row>
    <row r="17" spans="1:10" ht="15">
      <c r="A17" s="243">
        <v>8</v>
      </c>
      <c r="B17" s="243" t="s">
        <v>1216</v>
      </c>
      <c r="C17" s="245" t="s">
        <v>1217</v>
      </c>
      <c r="D17" s="243" t="s">
        <v>847</v>
      </c>
      <c r="E17" s="249">
        <v>92</v>
      </c>
      <c r="F17" s="418"/>
      <c r="G17" s="249">
        <f t="shared" si="0"/>
        <v>0</v>
      </c>
      <c r="H17" s="249"/>
      <c r="I17" s="249">
        <v>0.001</v>
      </c>
      <c r="J17" s="418"/>
    </row>
    <row r="18" spans="1:10" ht="15">
      <c r="A18" s="243">
        <v>9</v>
      </c>
      <c r="B18" s="243" t="s">
        <v>1218</v>
      </c>
      <c r="C18" s="245" t="s">
        <v>1219</v>
      </c>
      <c r="D18" s="243" t="s">
        <v>847</v>
      </c>
      <c r="E18" s="249">
        <v>40</v>
      </c>
      <c r="F18" s="418"/>
      <c r="G18" s="249">
        <f t="shared" si="0"/>
        <v>0</v>
      </c>
      <c r="H18" s="249"/>
      <c r="I18" s="249">
        <v>0.005</v>
      </c>
      <c r="J18" s="418"/>
    </row>
    <row r="19" spans="1:10" ht="15">
      <c r="A19" s="243">
        <v>10</v>
      </c>
      <c r="B19" s="243" t="s">
        <v>1220</v>
      </c>
      <c r="C19" s="245" t="s">
        <v>1221</v>
      </c>
      <c r="D19" s="243" t="s">
        <v>1136</v>
      </c>
      <c r="E19" s="249">
        <v>4</v>
      </c>
      <c r="F19" s="418"/>
      <c r="G19" s="249">
        <f t="shared" si="0"/>
        <v>0</v>
      </c>
      <c r="H19" s="249"/>
      <c r="I19" s="249">
        <v>0.001</v>
      </c>
      <c r="J19" s="418"/>
    </row>
    <row r="20" spans="1:10" ht="15">
      <c r="A20" s="243">
        <v>11</v>
      </c>
      <c r="B20" s="243" t="s">
        <v>1222</v>
      </c>
      <c r="C20" s="245" t="s">
        <v>1223</v>
      </c>
      <c r="D20" s="243" t="s">
        <v>847</v>
      </c>
      <c r="E20" s="249">
        <v>73</v>
      </c>
      <c r="F20" s="418"/>
      <c r="G20" s="249">
        <f t="shared" si="0"/>
        <v>0</v>
      </c>
      <c r="H20" s="249"/>
      <c r="I20" s="249">
        <v>0.001</v>
      </c>
      <c r="J20" s="418"/>
    </row>
    <row r="21" spans="1:10" ht="15">
      <c r="A21" s="243">
        <v>12</v>
      </c>
      <c r="B21" s="243" t="s">
        <v>1224</v>
      </c>
      <c r="C21" s="245" t="s">
        <v>1225</v>
      </c>
      <c r="D21" s="243" t="s">
        <v>847</v>
      </c>
      <c r="E21" s="249">
        <v>24</v>
      </c>
      <c r="F21" s="418"/>
      <c r="G21" s="249">
        <f t="shared" si="0"/>
        <v>0</v>
      </c>
      <c r="H21" s="249"/>
      <c r="I21" s="249">
        <v>0.001</v>
      </c>
      <c r="J21" s="418"/>
    </row>
    <row r="22" spans="1:10" ht="15">
      <c r="A22" s="243">
        <v>13</v>
      </c>
      <c r="B22" s="243" t="s">
        <v>1226</v>
      </c>
      <c r="C22" s="245" t="s">
        <v>1227</v>
      </c>
      <c r="D22" s="243" t="s">
        <v>847</v>
      </c>
      <c r="E22" s="249">
        <v>8</v>
      </c>
      <c r="F22" s="418"/>
      <c r="G22" s="249">
        <f t="shared" si="0"/>
        <v>0</v>
      </c>
      <c r="H22" s="249"/>
      <c r="I22" s="249">
        <v>0.001</v>
      </c>
      <c r="J22" s="418"/>
    </row>
    <row r="23" spans="1:10" ht="15">
      <c r="A23" s="243">
        <v>14</v>
      </c>
      <c r="B23" s="243" t="s">
        <v>1228</v>
      </c>
      <c r="C23" s="245" t="s">
        <v>1229</v>
      </c>
      <c r="D23" s="243" t="s">
        <v>847</v>
      </c>
      <c r="E23" s="249">
        <v>1</v>
      </c>
      <c r="F23" s="418"/>
      <c r="G23" s="249">
        <f t="shared" si="0"/>
        <v>0</v>
      </c>
      <c r="H23" s="249"/>
      <c r="I23" s="249">
        <v>0.001</v>
      </c>
      <c r="J23" s="418"/>
    </row>
    <row r="24" spans="1:10" ht="15">
      <c r="A24" s="243">
        <v>15</v>
      </c>
      <c r="B24" s="243" t="s">
        <v>1230</v>
      </c>
      <c r="C24" s="245" t="s">
        <v>1231</v>
      </c>
      <c r="D24" s="243" t="s">
        <v>847</v>
      </c>
      <c r="E24" s="249">
        <v>40</v>
      </c>
      <c r="F24" s="418"/>
      <c r="G24" s="249">
        <f t="shared" si="0"/>
        <v>0</v>
      </c>
      <c r="H24" s="249"/>
      <c r="I24" s="249">
        <v>0.001</v>
      </c>
      <c r="J24" s="418"/>
    </row>
    <row r="25" spans="1:10" ht="15">
      <c r="A25" s="243">
        <v>16</v>
      </c>
      <c r="B25" s="243" t="s">
        <v>1232</v>
      </c>
      <c r="C25" s="245" t="s">
        <v>1233</v>
      </c>
      <c r="D25" s="243" t="s">
        <v>1208</v>
      </c>
      <c r="E25" s="249">
        <v>29</v>
      </c>
      <c r="F25" s="418"/>
      <c r="G25" s="249">
        <f t="shared" si="0"/>
        <v>0</v>
      </c>
      <c r="H25" s="249"/>
      <c r="I25" s="249">
        <v>0.0005</v>
      </c>
      <c r="J25" s="418"/>
    </row>
    <row r="26" spans="1:10" ht="15">
      <c r="A26" s="243">
        <v>17</v>
      </c>
      <c r="B26" s="243" t="s">
        <v>1234</v>
      </c>
      <c r="C26" s="245" t="s">
        <v>1235</v>
      </c>
      <c r="D26" s="243" t="s">
        <v>847</v>
      </c>
      <c r="E26" s="249">
        <v>278</v>
      </c>
      <c r="F26" s="418"/>
      <c r="G26" s="249">
        <f t="shared" si="0"/>
        <v>0</v>
      </c>
      <c r="H26" s="249"/>
      <c r="I26" s="249"/>
      <c r="J26" s="418"/>
    </row>
    <row r="27" spans="1:10" ht="15">
      <c r="A27" s="243">
        <v>18</v>
      </c>
      <c r="B27" s="243" t="s">
        <v>1236</v>
      </c>
      <c r="C27" s="245" t="s">
        <v>1237</v>
      </c>
      <c r="D27" s="243" t="s">
        <v>1183</v>
      </c>
      <c r="E27" s="250">
        <v>4.9</v>
      </c>
      <c r="F27" s="418"/>
      <c r="G27" s="249">
        <f t="shared" si="0"/>
        <v>0</v>
      </c>
      <c r="H27" s="249"/>
      <c r="I27" s="249"/>
      <c r="J27" s="418"/>
    </row>
    <row r="28" spans="1:10" ht="15">
      <c r="A28" s="243"/>
      <c r="B28" s="243" t="s">
        <v>1238</v>
      </c>
      <c r="C28" s="245" t="s">
        <v>1239</v>
      </c>
      <c r="D28" s="243"/>
      <c r="E28" s="249"/>
      <c r="F28" s="418"/>
      <c r="G28" s="249"/>
      <c r="H28" s="249"/>
      <c r="I28" s="249"/>
      <c r="J28" s="418"/>
    </row>
    <row r="29" spans="1:10" ht="15">
      <c r="A29" s="243"/>
      <c r="B29" s="243"/>
      <c r="C29" s="245"/>
      <c r="D29" s="243"/>
      <c r="E29" s="249"/>
      <c r="F29" s="418"/>
      <c r="G29" s="249"/>
      <c r="H29" s="249"/>
      <c r="I29" s="249"/>
      <c r="J29" s="418"/>
    </row>
    <row r="30" spans="1:10" ht="15">
      <c r="A30" s="243"/>
      <c r="B30" s="243" t="s">
        <v>1240</v>
      </c>
      <c r="C30" s="245" t="s">
        <v>1241</v>
      </c>
      <c r="D30" s="243"/>
      <c r="E30" s="249"/>
      <c r="F30" s="418"/>
      <c r="G30" s="249"/>
      <c r="H30" s="249"/>
      <c r="I30" s="249"/>
      <c r="J30" s="418"/>
    </row>
    <row r="31" spans="1:10" ht="21">
      <c r="A31" s="243">
        <v>19</v>
      </c>
      <c r="B31" s="243" t="s">
        <v>1242</v>
      </c>
      <c r="C31" s="245" t="s">
        <v>1243</v>
      </c>
      <c r="D31" s="243" t="s">
        <v>1126</v>
      </c>
      <c r="E31" s="249">
        <v>29</v>
      </c>
      <c r="F31" s="418"/>
      <c r="G31" s="249">
        <f aca="true" t="shared" si="1" ref="G31:G41">E31*F31</f>
        <v>0</v>
      </c>
      <c r="H31" s="249"/>
      <c r="I31" s="249">
        <v>0.001</v>
      </c>
      <c r="J31" s="418"/>
    </row>
    <row r="32" spans="1:10" ht="15">
      <c r="A32" s="243">
        <v>20</v>
      </c>
      <c r="B32" s="243" t="s">
        <v>1244</v>
      </c>
      <c r="C32" s="245" t="s">
        <v>1245</v>
      </c>
      <c r="D32" s="243" t="s">
        <v>1136</v>
      </c>
      <c r="E32" s="249">
        <v>29</v>
      </c>
      <c r="F32" s="418"/>
      <c r="G32" s="249">
        <f t="shared" si="1"/>
        <v>0</v>
      </c>
      <c r="H32" s="249"/>
      <c r="I32" s="249">
        <v>0.001</v>
      </c>
      <c r="J32" s="418"/>
    </row>
    <row r="33" spans="1:10" ht="15">
      <c r="A33" s="243">
        <v>21</v>
      </c>
      <c r="B33" s="243" t="s">
        <v>1246</v>
      </c>
      <c r="C33" s="245" t="s">
        <v>1247</v>
      </c>
      <c r="D33" s="243" t="s">
        <v>1136</v>
      </c>
      <c r="E33" s="249">
        <v>8</v>
      </c>
      <c r="F33" s="418"/>
      <c r="G33" s="249">
        <f t="shared" si="1"/>
        <v>0</v>
      </c>
      <c r="H33" s="249"/>
      <c r="I33" s="249">
        <v>0.0001</v>
      </c>
      <c r="J33" s="418"/>
    </row>
    <row r="34" spans="1:10" ht="15">
      <c r="A34" s="243">
        <v>22</v>
      </c>
      <c r="B34" s="243" t="s">
        <v>1248</v>
      </c>
      <c r="C34" s="245" t="s">
        <v>1249</v>
      </c>
      <c r="D34" s="243" t="s">
        <v>1136</v>
      </c>
      <c r="E34" s="249">
        <v>2</v>
      </c>
      <c r="F34" s="418"/>
      <c r="G34" s="249">
        <f t="shared" si="1"/>
        <v>0</v>
      </c>
      <c r="H34" s="249"/>
      <c r="I34" s="249">
        <v>0.001</v>
      </c>
      <c r="J34" s="418"/>
    </row>
    <row r="35" spans="1:10" ht="15">
      <c r="A35" s="243">
        <v>23</v>
      </c>
      <c r="B35" s="243" t="s">
        <v>1250</v>
      </c>
      <c r="C35" s="245" t="s">
        <v>1251</v>
      </c>
      <c r="D35" s="243" t="s">
        <v>1136</v>
      </c>
      <c r="E35" s="249">
        <v>2</v>
      </c>
      <c r="F35" s="418"/>
      <c r="G35" s="249">
        <f t="shared" si="1"/>
        <v>0</v>
      </c>
      <c r="H35" s="249"/>
      <c r="I35" s="249">
        <v>0.001</v>
      </c>
      <c r="J35" s="418"/>
    </row>
    <row r="36" spans="1:10" ht="15">
      <c r="A36" s="243">
        <v>24</v>
      </c>
      <c r="B36" s="243" t="s">
        <v>1252</v>
      </c>
      <c r="C36" s="245" t="s">
        <v>1253</v>
      </c>
      <c r="D36" s="243" t="s">
        <v>1136</v>
      </c>
      <c r="E36" s="249">
        <v>2</v>
      </c>
      <c r="F36" s="418"/>
      <c r="G36" s="249">
        <f t="shared" si="1"/>
        <v>0</v>
      </c>
      <c r="H36" s="249"/>
      <c r="I36" s="249">
        <v>0.001</v>
      </c>
      <c r="J36" s="418"/>
    </row>
    <row r="37" spans="1:10" ht="15">
      <c r="A37" s="243">
        <v>25</v>
      </c>
      <c r="B37" s="243" t="s">
        <v>1254</v>
      </c>
      <c r="C37" s="245" t="s">
        <v>1255</v>
      </c>
      <c r="D37" s="243" t="s">
        <v>1126</v>
      </c>
      <c r="E37" s="249">
        <v>2</v>
      </c>
      <c r="F37" s="418"/>
      <c r="G37" s="249">
        <f t="shared" si="1"/>
        <v>0</v>
      </c>
      <c r="H37" s="249"/>
      <c r="I37" s="249">
        <v>0.001</v>
      </c>
      <c r="J37" s="418"/>
    </row>
    <row r="38" spans="1:10" ht="15">
      <c r="A38" s="243">
        <v>26</v>
      </c>
      <c r="B38" s="243" t="s">
        <v>1256</v>
      </c>
      <c r="C38" s="245" t="s">
        <v>1257</v>
      </c>
      <c r="D38" s="243" t="s">
        <v>1136</v>
      </c>
      <c r="E38" s="249">
        <v>4</v>
      </c>
      <c r="F38" s="418"/>
      <c r="G38" s="249">
        <f t="shared" si="1"/>
        <v>0</v>
      </c>
      <c r="H38" s="249"/>
      <c r="I38" s="249">
        <v>0.001</v>
      </c>
      <c r="J38" s="418"/>
    </row>
    <row r="39" spans="1:10" ht="15">
      <c r="A39" s="243">
        <v>27</v>
      </c>
      <c r="B39" s="243" t="s">
        <v>1258</v>
      </c>
      <c r="C39" s="245" t="s">
        <v>1259</v>
      </c>
      <c r="D39" s="243" t="s">
        <v>1136</v>
      </c>
      <c r="E39" s="249">
        <v>8</v>
      </c>
      <c r="F39" s="418"/>
      <c r="G39" s="249">
        <f t="shared" si="1"/>
        <v>0</v>
      </c>
      <c r="H39" s="249"/>
      <c r="I39" s="249">
        <v>0.001</v>
      </c>
      <c r="J39" s="418"/>
    </row>
    <row r="40" spans="1:10" ht="31.2">
      <c r="A40" s="243">
        <v>28</v>
      </c>
      <c r="B40" s="243" t="s">
        <v>1260</v>
      </c>
      <c r="C40" s="245" t="s">
        <v>1261</v>
      </c>
      <c r="D40" s="243" t="s">
        <v>1126</v>
      </c>
      <c r="E40" s="249">
        <v>1</v>
      </c>
      <c r="F40" s="418"/>
      <c r="G40" s="249">
        <f t="shared" si="1"/>
        <v>0</v>
      </c>
      <c r="H40" s="249"/>
      <c r="I40" s="249">
        <v>0.002</v>
      </c>
      <c r="J40" s="418"/>
    </row>
    <row r="41" spans="1:10" ht="15">
      <c r="A41" s="243">
        <v>29</v>
      </c>
      <c r="B41" s="243" t="s">
        <v>1262</v>
      </c>
      <c r="C41" s="245" t="s">
        <v>1263</v>
      </c>
      <c r="D41" s="243" t="s">
        <v>1183</v>
      </c>
      <c r="E41" s="249">
        <v>0.08</v>
      </c>
      <c r="F41" s="418"/>
      <c r="G41" s="249">
        <f t="shared" si="1"/>
        <v>0</v>
      </c>
      <c r="H41" s="249"/>
      <c r="I41" s="249"/>
      <c r="J41" s="418"/>
    </row>
    <row r="42" spans="1:10" ht="15">
      <c r="A42" s="243"/>
      <c r="B42" s="243" t="s">
        <v>1264</v>
      </c>
      <c r="C42" s="245" t="s">
        <v>1265</v>
      </c>
      <c r="D42" s="243"/>
      <c r="E42" s="249"/>
      <c r="F42" s="418"/>
      <c r="G42" s="249"/>
      <c r="H42" s="249"/>
      <c r="I42" s="249"/>
      <c r="J42" s="418"/>
    </row>
    <row r="43" spans="1:10" ht="15">
      <c r="A43" s="243"/>
      <c r="B43" s="243"/>
      <c r="C43" s="245"/>
      <c r="D43" s="243"/>
      <c r="E43" s="249"/>
      <c r="F43" s="418"/>
      <c r="G43" s="249"/>
      <c r="H43" s="249"/>
      <c r="I43" s="249"/>
      <c r="J43" s="418"/>
    </row>
    <row r="44" spans="1:10" ht="15">
      <c r="A44" s="243"/>
      <c r="B44" s="243" t="s">
        <v>1266</v>
      </c>
      <c r="C44" s="245" t="s">
        <v>1267</v>
      </c>
      <c r="D44" s="243"/>
      <c r="E44" s="249"/>
      <c r="F44" s="418"/>
      <c r="G44" s="249"/>
      <c r="H44" s="249"/>
      <c r="I44" s="249"/>
      <c r="J44" s="418"/>
    </row>
    <row r="45" spans="1:10" ht="15">
      <c r="A45" s="243">
        <v>30</v>
      </c>
      <c r="B45" s="243" t="s">
        <v>1268</v>
      </c>
      <c r="C45" s="245" t="s">
        <v>1269</v>
      </c>
      <c r="D45" s="243" t="s">
        <v>1136</v>
      </c>
      <c r="E45" s="249">
        <v>5</v>
      </c>
      <c r="F45" s="418"/>
      <c r="G45" s="249">
        <f aca="true" t="shared" si="2" ref="G45:G55">E45*F45</f>
        <v>0</v>
      </c>
      <c r="H45" s="249"/>
      <c r="I45" s="249">
        <v>0.005</v>
      </c>
      <c r="J45" s="418"/>
    </row>
    <row r="46" spans="1:10" ht="15">
      <c r="A46" s="243">
        <v>31</v>
      </c>
      <c r="B46" s="243" t="s">
        <v>1270</v>
      </c>
      <c r="C46" s="245" t="s">
        <v>1271</v>
      </c>
      <c r="D46" s="243" t="s">
        <v>1136</v>
      </c>
      <c r="E46" s="249">
        <v>5</v>
      </c>
      <c r="F46" s="418"/>
      <c r="G46" s="249">
        <f t="shared" si="2"/>
        <v>0</v>
      </c>
      <c r="H46" s="249"/>
      <c r="I46" s="249">
        <v>0.08</v>
      </c>
      <c r="J46" s="418"/>
    </row>
    <row r="47" spans="1:10" ht="31.2">
      <c r="A47" s="243">
        <v>32</v>
      </c>
      <c r="B47" s="243" t="s">
        <v>1272</v>
      </c>
      <c r="C47" s="245" t="s">
        <v>1273</v>
      </c>
      <c r="D47" s="243" t="s">
        <v>1136</v>
      </c>
      <c r="E47" s="249">
        <v>24</v>
      </c>
      <c r="F47" s="418"/>
      <c r="G47" s="249">
        <f t="shared" si="2"/>
        <v>0</v>
      </c>
      <c r="H47" s="249"/>
      <c r="I47" s="249"/>
      <c r="J47" s="418"/>
    </row>
    <row r="48" spans="1:10" ht="41.4">
      <c r="A48" s="243">
        <v>33</v>
      </c>
      <c r="B48" s="243" t="s">
        <v>1274</v>
      </c>
      <c r="C48" s="245" t="s">
        <v>1275</v>
      </c>
      <c r="D48" s="243" t="s">
        <v>1136</v>
      </c>
      <c r="E48" s="249">
        <v>4</v>
      </c>
      <c r="F48" s="418"/>
      <c r="G48" s="249">
        <f t="shared" si="2"/>
        <v>0</v>
      </c>
      <c r="H48" s="249"/>
      <c r="I48" s="249">
        <v>0.1</v>
      </c>
      <c r="J48" s="418"/>
    </row>
    <row r="49" spans="1:10" ht="41.4">
      <c r="A49" s="243">
        <v>34</v>
      </c>
      <c r="B49" s="243" t="s">
        <v>1276</v>
      </c>
      <c r="C49" s="245" t="s">
        <v>1277</v>
      </c>
      <c r="D49" s="243" t="s">
        <v>1136</v>
      </c>
      <c r="E49" s="249">
        <v>15</v>
      </c>
      <c r="F49" s="418"/>
      <c r="G49" s="249">
        <f t="shared" si="2"/>
        <v>0</v>
      </c>
      <c r="H49" s="249"/>
      <c r="I49" s="249">
        <v>0.05</v>
      </c>
      <c r="J49" s="418"/>
    </row>
    <row r="50" spans="1:10" ht="41.4">
      <c r="A50" s="243">
        <v>35</v>
      </c>
      <c r="B50" s="243" t="s">
        <v>1278</v>
      </c>
      <c r="C50" s="245" t="s">
        <v>1279</v>
      </c>
      <c r="D50" s="243" t="s">
        <v>1136</v>
      </c>
      <c r="E50" s="249">
        <v>5</v>
      </c>
      <c r="F50" s="418"/>
      <c r="G50" s="249">
        <f t="shared" si="2"/>
        <v>0</v>
      </c>
      <c r="H50" s="249"/>
      <c r="I50" s="249">
        <v>0.05</v>
      </c>
      <c r="J50" s="418"/>
    </row>
    <row r="51" spans="1:10" ht="21">
      <c r="A51" s="243">
        <v>36</v>
      </c>
      <c r="B51" s="243" t="s">
        <v>1280</v>
      </c>
      <c r="C51" s="245" t="s">
        <v>1281</v>
      </c>
      <c r="D51" s="243" t="s">
        <v>1126</v>
      </c>
      <c r="E51" s="249">
        <v>1</v>
      </c>
      <c r="F51" s="418"/>
      <c r="G51" s="249">
        <f t="shared" si="2"/>
        <v>0</v>
      </c>
      <c r="H51" s="249"/>
      <c r="I51" s="249">
        <v>2</v>
      </c>
      <c r="J51" s="418"/>
    </row>
    <row r="52" spans="1:10" ht="15">
      <c r="A52" s="243">
        <v>37</v>
      </c>
      <c r="B52" s="243" t="s">
        <v>1282</v>
      </c>
      <c r="C52" s="245" t="s">
        <v>1283</v>
      </c>
      <c r="D52" s="243" t="s">
        <v>1126</v>
      </c>
      <c r="E52" s="249">
        <v>1</v>
      </c>
      <c r="F52" s="418"/>
      <c r="G52" s="249">
        <f t="shared" si="2"/>
        <v>0</v>
      </c>
      <c r="H52" s="249"/>
      <c r="I52" s="249"/>
      <c r="J52" s="418"/>
    </row>
    <row r="53" spans="1:10" ht="15">
      <c r="A53" s="243">
        <v>38</v>
      </c>
      <c r="B53" s="243" t="s">
        <v>1284</v>
      </c>
      <c r="C53" s="245" t="s">
        <v>1285</v>
      </c>
      <c r="D53" s="243" t="s">
        <v>1201</v>
      </c>
      <c r="E53" s="249">
        <v>24</v>
      </c>
      <c r="F53" s="418"/>
      <c r="G53" s="249">
        <f t="shared" si="2"/>
        <v>0</v>
      </c>
      <c r="H53" s="249"/>
      <c r="I53" s="249">
        <v>0.001</v>
      </c>
      <c r="J53" s="418"/>
    </row>
    <row r="54" spans="1:10" ht="15">
      <c r="A54" s="243">
        <v>39</v>
      </c>
      <c r="B54" s="243" t="s">
        <v>1286</v>
      </c>
      <c r="C54" s="245" t="s">
        <v>1287</v>
      </c>
      <c r="D54" s="243" t="s">
        <v>1201</v>
      </c>
      <c r="E54" s="249">
        <v>24</v>
      </c>
      <c r="F54" s="418"/>
      <c r="G54" s="249">
        <f t="shared" si="2"/>
        <v>0</v>
      </c>
      <c r="H54" s="249"/>
      <c r="I54" s="249"/>
      <c r="J54" s="418"/>
    </row>
    <row r="55" spans="1:10" ht="15">
      <c r="A55" s="243">
        <v>40</v>
      </c>
      <c r="B55" s="243" t="s">
        <v>1288</v>
      </c>
      <c r="C55" s="245" t="s">
        <v>1289</v>
      </c>
      <c r="D55" s="243" t="s">
        <v>1183</v>
      </c>
      <c r="E55" s="249">
        <v>3.85</v>
      </c>
      <c r="F55" s="418"/>
      <c r="G55" s="249">
        <f t="shared" si="2"/>
        <v>0</v>
      </c>
      <c r="H55" s="249"/>
      <c r="I55" s="249"/>
      <c r="J55" s="418"/>
    </row>
    <row r="56" spans="1:10" ht="15">
      <c r="A56" s="243"/>
      <c r="B56" s="243" t="s">
        <v>1266</v>
      </c>
      <c r="C56" s="245" t="s">
        <v>1290</v>
      </c>
      <c r="D56" s="243"/>
      <c r="E56" s="249"/>
      <c r="F56" s="249"/>
      <c r="G56" s="249"/>
      <c r="H56" s="249"/>
      <c r="I56" s="249"/>
      <c r="J56" s="418"/>
    </row>
    <row r="57" spans="1:10" ht="15">
      <c r="A57" s="243"/>
      <c r="B57" s="243"/>
      <c r="C57" s="245"/>
      <c r="D57" s="243"/>
      <c r="E57" s="249"/>
      <c r="F57" s="249"/>
      <c r="G57" s="249"/>
      <c r="H57" s="249"/>
      <c r="I57" s="249"/>
      <c r="J57" s="249"/>
    </row>
    <row r="58" spans="1:10" ht="15">
      <c r="A58" s="243" t="s">
        <v>1194</v>
      </c>
      <c r="B58" s="243" t="s">
        <v>1195</v>
      </c>
      <c r="C58" s="245" t="s">
        <v>1291</v>
      </c>
      <c r="D58" s="243"/>
      <c r="E58" s="249"/>
      <c r="F58" s="249"/>
      <c r="G58" s="249">
        <f>SUM(G10:G56)</f>
        <v>0</v>
      </c>
      <c r="H58" s="249" t="s">
        <v>1186</v>
      </c>
      <c r="I58" s="249"/>
      <c r="J58" s="249"/>
    </row>
    <row r="59" spans="1:10" ht="15">
      <c r="A59" s="243"/>
      <c r="B59" s="243"/>
      <c r="C59" s="245"/>
      <c r="D59" s="243"/>
      <c r="E59" s="243"/>
      <c r="F59" s="243"/>
      <c r="G59" s="243"/>
      <c r="H59" s="243"/>
      <c r="I59" s="243"/>
      <c r="J59" s="243"/>
    </row>
    <row r="60" spans="1:10" ht="15">
      <c r="A60" s="243"/>
      <c r="B60" s="243"/>
      <c r="C60" s="243"/>
      <c r="D60" s="243"/>
      <c r="E60" s="243"/>
      <c r="F60" s="243"/>
      <c r="G60" s="243"/>
      <c r="H60" s="243"/>
      <c r="I60" s="243"/>
      <c r="J60" s="243"/>
    </row>
  </sheetData>
  <sheetProtection algorithmName="SHA-512" hashValue="C5aiccKiXpThtueSaBtzx0gbKj3v1rWazInmIaD234erBgZTcmpVz/p9RhGG2QTQfX9jVtsIVsi5vLeNDnREkw==" saltValue="lMu0aNLG7RgZU3UzSccc9w==" spinCount="100000" sheet="1" objects="1" scenarios="1"/>
  <printOptions/>
  <pageMargins left="0.747916666666667" right="0.747916666666667" top="0.984027777777778" bottom="0.984027777777778" header="0.511811023622047" footer="0.511811023622047"/>
  <pageSetup fitToHeight="99" fitToWidth="1" horizontalDpi="300" verticalDpi="3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Chalupski Martin</dc:creator>
  <cp:keywords/>
  <dc:description/>
  <cp:lastModifiedBy>Chalupski Martin</cp:lastModifiedBy>
  <cp:lastPrinted>2022-12-23T14:34:14Z</cp:lastPrinted>
  <dcterms:created xsi:type="dcterms:W3CDTF">2017-11-23T09:24:09Z</dcterms:created>
  <dcterms:modified xsi:type="dcterms:W3CDTF">2023-04-13T09:42:29Z</dcterms:modified>
  <cp:category/>
  <cp:version/>
  <cp:contentType/>
  <cp:contentStatus/>
</cp:coreProperties>
</file>