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45" activeTab="0"/>
  </bookViews>
  <sheets>
    <sheet name="Krycí list rozpočtu" sheetId="1" r:id="rId1"/>
    <sheet name="VORN" sheetId="2" state="hidden" r:id="rId2"/>
    <sheet name="Rozpočet - objekty" sheetId="3" r:id="rId3"/>
    <sheet name="Stavební rozpočet (1_ST)" sheetId="4" r:id="rId4"/>
    <sheet name="Stavební rozpočet (2_HR)" sheetId="5" r:id="rId5"/>
    <sheet name="Stavební rozpočet (3_VRN)" sheetId="6" r:id="rId6"/>
    <sheet name="Stavební rozpočet" sheetId="7" state="hidden" r:id="rId7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<sst xmlns="http://schemas.openxmlformats.org/spreadsheetml/2006/main" count="5411" uniqueCount="941">
  <si>
    <t>92</t>
  </si>
  <si>
    <t>Montáž vázaných krovů pravidelných do 450 cm2</t>
  </si>
  <si>
    <t>165</t>
  </si>
  <si>
    <t>Kontrolní měření uzemnění</t>
  </si>
  <si>
    <t>Příplatek k suti za každých dalších 4 m výšky</t>
  </si>
  <si>
    <t>Demontáž břidličné krytiny, šupiny netříd. do suti</t>
  </si>
  <si>
    <t>Doba výstavby:</t>
  </si>
  <si>
    <t>(0,16+0,2)*2*(5,0*2+4,0*2+5,5*2+1,5*3)</t>
  </si>
  <si>
    <t>762332130RT3</t>
  </si>
  <si>
    <t>Prkno stavební omítané SM/BO tl. 32 mm, 4 - 6 m</t>
  </si>
  <si>
    <t>Oprava omítek stropů vnitřních vápenocem.štukových</t>
  </si>
  <si>
    <t>Lemování z Al plechu zdí, tvrdá krytina, rš 660 mm</t>
  </si>
  <si>
    <t>011002VRN_x4</t>
  </si>
  <si>
    <t>Projektant</t>
  </si>
  <si>
    <t>Repase kříže - otryskání, žárové zinkování, nátěr kovářskou černí</t>
  </si>
  <si>
    <t>Otesání tesařských prvků průřezu do 224 cm2</t>
  </si>
  <si>
    <t>67</t>
  </si>
  <si>
    <t>Výškové úpravy</t>
  </si>
  <si>
    <t>Impregnace řeziva tlakovakuová</t>
  </si>
  <si>
    <t>Ostatní rozpočtové náklady (VORN)</t>
  </si>
  <si>
    <t>viz výpis řeziva - hlavní loď+sakristie</t>
  </si>
  <si>
    <t>kříž a makovice</t>
  </si>
  <si>
    <t>Demontáž lešení těž.řad.s pod.š.2,5, H 30 m,300 kg</t>
  </si>
  <si>
    <t>61,39*19</t>
  </si>
  <si>
    <t>Malby</t>
  </si>
  <si>
    <t>Vedlejší a ostatní rozpočtové náklady VORN</t>
  </si>
  <si>
    <t>622477243R00</t>
  </si>
  <si>
    <t>103</t>
  </si>
  <si>
    <t>Pásová ocel 50x5mm</t>
  </si>
  <si>
    <t>Dezinfekce podlah a stěn-mikrobi z holub.trusu 1x</t>
  </si>
  <si>
    <t>v případě opravy vnitřních omítek - zatečení, popraskání omítek kleneb</t>
  </si>
  <si>
    <t>žaluzie ve věži</t>
  </si>
  <si>
    <t>60596005</t>
  </si>
  <si>
    <t>Průběžné čištění veřejných komunikací</t>
  </si>
  <si>
    <t>ZK1</t>
  </si>
  <si>
    <t>šablony, pečlivé zpracování členění říms a ozdobných prvků oproti standardnímu objektu</t>
  </si>
  <si>
    <t>(0,18+0,18)*2*(9,5*1)</t>
  </si>
  <si>
    <t>Odstranění nátěrů truhlářských, oken oškrábáním</t>
  </si>
  <si>
    <t>764352203R00</t>
  </si>
  <si>
    <t>Fólie difuzní 3vrst., 150g/m2, Sd 0,08m, W1, reakce na oheň E, pevnost 340/270 N/5cm</t>
  </si>
  <si>
    <t>166</t>
  </si>
  <si>
    <t>052002VRN_x1</t>
  </si>
  <si>
    <t>věž</t>
  </si>
  <si>
    <t>784011221RT2_x1</t>
  </si>
  <si>
    <t>Statutární město Opava</t>
  </si>
  <si>
    <t>91</t>
  </si>
  <si>
    <t>Podpěra ochranné trubky na okap</t>
  </si>
  <si>
    <t>952902211R00</t>
  </si>
  <si>
    <t>87</t>
  </si>
  <si>
    <t>Základ 21%</t>
  </si>
  <si>
    <t>tloušťka zdiva 300 mm</t>
  </si>
  <si>
    <t>20</t>
  </si>
  <si>
    <t>03VRN</t>
  </si>
  <si>
    <t>952901110R00</t>
  </si>
  <si>
    <t>Dodávka</t>
  </si>
  <si>
    <t>NUS celkem z obj.</t>
  </si>
  <si>
    <t>2_HR_</t>
  </si>
  <si>
    <t>167</t>
  </si>
  <si>
    <t>090001VRN_x2</t>
  </si>
  <si>
    <t>32IM</t>
  </si>
  <si>
    <t>762341811R00</t>
  </si>
  <si>
    <t>317235811R00</t>
  </si>
  <si>
    <t>25IM</t>
  </si>
  <si>
    <t>Očištění fasád tlakovou vodou složitost 3 - 5</t>
  </si>
  <si>
    <t>Drobný podružný materiál</t>
  </si>
  <si>
    <t>Slepý stavební rozpočet (2_HR - 2_HR_Hromosvod)</t>
  </si>
  <si>
    <t>171</t>
  </si>
  <si>
    <t>147</t>
  </si>
  <si>
    <t>Název stavby:</t>
  </si>
  <si>
    <t>Ostatní materiál</t>
  </si>
  <si>
    <t>lepení</t>
  </si>
  <si>
    <t>8,293</t>
  </si>
  <si>
    <t>48</t>
  </si>
  <si>
    <t>29</t>
  </si>
  <si>
    <t>Č</t>
  </si>
  <si>
    <t>do 450cm2, viz výpis řeziva - hlavní loď+sakristie</t>
  </si>
  <si>
    <t>1_ST_3_</t>
  </si>
  <si>
    <t>764</t>
  </si>
  <si>
    <t>762332140RT3</t>
  </si>
  <si>
    <t>712400898RT3</t>
  </si>
  <si>
    <t>Čištění mytím vnějších ploch oken a dveří</t>
  </si>
  <si>
    <t>Střešní výlez rozměr 600x600 mm, výplň polykarboná - systémový výrobek pro plechové střechy</t>
  </si>
  <si>
    <t>Slepý stavební rozpočet - Jen objekty celkem</t>
  </si>
  <si>
    <t>Poznámka:</t>
  </si>
  <si>
    <t>(0,12+0,16)*2*(5,5*24+3,0*2+2,0*4+2,5*2+5,5*3)</t>
  </si>
  <si>
    <t>Lokalita:</t>
  </si>
  <si>
    <t>79</t>
  </si>
  <si>
    <t>42,5*22,0</t>
  </si>
  <si>
    <t>Římsa z cihel plných 290 mm, P25 na maltu cementovou 10 MPa</t>
  </si>
  <si>
    <t>(0,2+0,16)*2*(3,0*3)</t>
  </si>
  <si>
    <t>71</t>
  </si>
  <si>
    <t>16</t>
  </si>
  <si>
    <t>PSV</t>
  </si>
  <si>
    <t>24</t>
  </si>
  <si>
    <t>Bez pevné podl.</t>
  </si>
  <si>
    <t>Milostovice</t>
  </si>
  <si>
    <t>Celkem</t>
  </si>
  <si>
    <t>3*(42,5*22,0)</t>
  </si>
  <si>
    <t>Zařízení staveniště</t>
  </si>
  <si>
    <t>0,384</t>
  </si>
  <si>
    <t>Příplatek za každý měsíc použití sítí k pol. 4011</t>
  </si>
  <si>
    <t>K/14</t>
  </si>
  <si>
    <t>Přesun hmot pro povlakové krytiny, výšky do 24 m</t>
  </si>
  <si>
    <t>bednění, hlavní loď, viz výpis řeziva</t>
  </si>
  <si>
    <t>762086112R00</t>
  </si>
  <si>
    <t>K/6</t>
  </si>
  <si>
    <t>0,4614</t>
  </si>
  <si>
    <t>Oprava makovice - očištění, pozlacení</t>
  </si>
  <si>
    <t>4</t>
  </si>
  <si>
    <t>97</t>
  </si>
  <si>
    <t>121</t>
  </si>
  <si>
    <t>94</t>
  </si>
  <si>
    <t>Tyč závitová M16, DIN 975</t>
  </si>
  <si>
    <t>013002VRN_x4</t>
  </si>
  <si>
    <t>1_ST_9_</t>
  </si>
  <si>
    <t>944944081R00</t>
  </si>
  <si>
    <t>145</t>
  </si>
  <si>
    <t>Závěrečný úklid objektu před předáním stavby uživateli do trvalého užívání - finální úklid stavby</t>
  </si>
  <si>
    <t>60</t>
  </si>
  <si>
    <t>Základní rozpočtové náklady</t>
  </si>
  <si>
    <t>Nátěr stěn vnějších, slož. 3-4 , PCI, silikonový</t>
  </si>
  <si>
    <t>výška římsy věže nad pozednicí, šířka, obvod</t>
  </si>
  <si>
    <t>944945813R00</t>
  </si>
  <si>
    <t>26</t>
  </si>
  <si>
    <t>105</t>
  </si>
  <si>
    <t>K/11</t>
  </si>
  <si>
    <t>Kotlík z Pz plechu kónický pro trouby D do 125 mm</t>
  </si>
  <si>
    <t>135</t>
  </si>
  <si>
    <t>dle aktuálního stavu po odkrytí konstrukcí a demont.krovu</t>
  </si>
  <si>
    <t>Kříž a makovice</t>
  </si>
  <si>
    <t>Konstrukce klempířské</t>
  </si>
  <si>
    <t>765799313RO9</t>
  </si>
  <si>
    <t>Demontáž bednění střech rovných z prken hrubých</t>
  </si>
  <si>
    <t>Poplatek za uložení suti - asfaltové pásy, skupina odpadu 170302</t>
  </si>
  <si>
    <t>Celkem bez DPH</t>
  </si>
  <si>
    <t>jádrová omítka, penetrace, silikátová omítka</t>
  </si>
  <si>
    <t>122</t>
  </si>
  <si>
    <t>14,9</t>
  </si>
  <si>
    <t>22,0*0,032</t>
  </si>
  <si>
    <t>Vedlejší a ostatní rozpočtové náklady</t>
  </si>
  <si>
    <t>K/16</t>
  </si>
  <si>
    <t>24IM</t>
  </si>
  <si>
    <t>2,2*0,3*10,1</t>
  </si>
  <si>
    <t>3*61,39</t>
  </si>
  <si>
    <t>138</t>
  </si>
  <si>
    <t>M21</t>
  </si>
  <si>
    <t>762086114R00</t>
  </si>
  <si>
    <t>na krokve i na bednění</t>
  </si>
  <si>
    <t>172</t>
  </si>
  <si>
    <t>02VRN_</t>
  </si>
  <si>
    <t>E2</t>
  </si>
  <si>
    <t>762795000R00</t>
  </si>
  <si>
    <t>(0,16+0,16)*2*(1,5*10)</t>
  </si>
  <si>
    <t>942941023R00</t>
  </si>
  <si>
    <t>6</t>
  </si>
  <si>
    <t>Rozpočtové náklady v Kč</t>
  </si>
  <si>
    <t>68</t>
  </si>
  <si>
    <t>viz tabulka sanačních prací, výpis řeziva</t>
  </si>
  <si>
    <t>81</t>
  </si>
  <si>
    <t>Ostatní položky práce</t>
  </si>
  <si>
    <t>3_VRN_</t>
  </si>
  <si>
    <t>K/13, střecha na věž a sakristie na hlavní loď</t>
  </si>
  <si>
    <t>dle celkové položky řeziva</t>
  </si>
  <si>
    <t>B</t>
  </si>
  <si>
    <t>119</t>
  </si>
  <si>
    <t>Deska dřevoštěpková OSB 3 nebroušená, Kronospan tl. 12 mm</t>
  </si>
  <si>
    <t>160</t>
  </si>
  <si>
    <t>Náklady na umístění stavby (NUS)</t>
  </si>
  <si>
    <t>42</t>
  </si>
  <si>
    <t>Zkoušky</t>
  </si>
  <si>
    <t>82</t>
  </si>
  <si>
    <t>Montáž</t>
  </si>
  <si>
    <t>Zemnící tyč ZT 1,5 FeZn</t>
  </si>
  <si>
    <t>Kompletační činnost</t>
  </si>
  <si>
    <t>z ploch jednotlivě nad 20 m2</t>
  </si>
  <si>
    <t>Datum, razítko a podpis</t>
  </si>
  <si>
    <t>VĚŽ</t>
  </si>
  <si>
    <t>dle aktuálního stavu</t>
  </si>
  <si>
    <t>10,1</t>
  </si>
  <si>
    <t>ZRN celkem</t>
  </si>
  <si>
    <t>SAKRISTIE</t>
  </si>
  <si>
    <t>764775307R00</t>
  </si>
  <si>
    <t>Potřebné skládky a meziskládky stavebních materiálů, vybourané sutě a vybouraných hmot, zpětné předání staveništních ploch po ukončení stavby jejich majitelům a správcům</t>
  </si>
  <si>
    <t>K/9</t>
  </si>
  <si>
    <t>(0,14+0,16)*2*(2,5*8+3,0*2)</t>
  </si>
  <si>
    <t>do 288cm2, hlavní loď a sakristie, viz výpis řeziva</t>
  </si>
  <si>
    <t>(14,2+3,2+2,9+4,0+2,9+3,2+14,2)</t>
  </si>
  <si>
    <t>765_</t>
  </si>
  <si>
    <t>611100011RAA</t>
  </si>
  <si>
    <t>942941191R00</t>
  </si>
  <si>
    <t>(0,16+0,16)*2*(2,0*4)</t>
  </si>
  <si>
    <t>69</t>
  </si>
  <si>
    <t>141</t>
  </si>
  <si>
    <t>21IM</t>
  </si>
  <si>
    <t>Poplatek za uložení suti - směs betonu, cihel, dřeva, skupina odpadu 170904</t>
  </si>
  <si>
    <t>33</t>
  </si>
  <si>
    <t>Omítky ze suchých směsí</t>
  </si>
  <si>
    <t>151,15</t>
  </si>
  <si>
    <t>2*47,5*0,5*0,25</t>
  </si>
  <si>
    <t>317231126R00</t>
  </si>
  <si>
    <t xml:space="preserve"> římsy věže nad pozednicí (4x)</t>
  </si>
  <si>
    <t>Montáž nové elektroinstalace v řešeném prostoru</t>
  </si>
  <si>
    <t>Hutnění výkopu</t>
  </si>
  <si>
    <t>783601811R00</t>
  </si>
  <si>
    <t>78</t>
  </si>
  <si>
    <t>Zkušební svorka nerez</t>
  </si>
  <si>
    <t>60725010</t>
  </si>
  <si>
    <t>Krycí list slepého rozpočtu</t>
  </si>
  <si>
    <t>120</t>
  </si>
  <si>
    <t>63</t>
  </si>
  <si>
    <t>Odvoz suti na skládku včetně uložení</t>
  </si>
  <si>
    <t>03VRN_</t>
  </si>
  <si>
    <t>Zábor veřejného prostranství včetně zajištění jeho povolení a uvedení ploch do původního stavu</t>
  </si>
  <si>
    <t>783_</t>
  </si>
  <si>
    <t>09VRN</t>
  </si>
  <si>
    <t>154</t>
  </si>
  <si>
    <t>15,20*0,032</t>
  </si>
  <si>
    <t>137</t>
  </si>
  <si>
    <t>hlavní loď a sakristie</t>
  </si>
  <si>
    <t>bědnění, věž</t>
  </si>
  <si>
    <t>5*6,5</t>
  </si>
  <si>
    <t>17IM</t>
  </si>
  <si>
    <t>Základna</t>
  </si>
  <si>
    <t>25</t>
  </si>
  <si>
    <t>kus</t>
  </si>
  <si>
    <t>ZK2</t>
  </si>
  <si>
    <t>hlavní loď, viz výpis řeziva</t>
  </si>
  <si>
    <t>hlavní loď</t>
  </si>
  <si>
    <t>762331811R00</t>
  </si>
  <si>
    <t>(0,2+0,16)*2*(15,0*2+4,0*2+4,0*1)</t>
  </si>
  <si>
    <t>napojení na zdroj vody - z objektu - podružné měření spotřeby</t>
  </si>
  <si>
    <t>Mechanismy</t>
  </si>
  <si>
    <t>Dodávky</t>
  </si>
  <si>
    <t>764422810R00_x1</t>
  </si>
  <si>
    <t>Oplechování říms z Pz plechu, rš 700 mm</t>
  </si>
  <si>
    <t>soustava</t>
  </si>
  <si>
    <t>011002VRN_x3</t>
  </si>
  <si>
    <t>762331813R00</t>
  </si>
  <si>
    <t>0,3*(40*2+8*2)</t>
  </si>
  <si>
    <t>věž, viiz výpis řeziva</t>
  </si>
  <si>
    <t>764775303R00</t>
  </si>
  <si>
    <t>Poplatek za recyklaci cihel kusovost do 1600 cm2 (skup.170102)</t>
  </si>
  <si>
    <t>Pořizování fotodokumentace stavby</t>
  </si>
  <si>
    <t>Přesun hmot pro tesařské konstrukce, výšky do 24 m</t>
  </si>
  <si>
    <t>Vnitrostaveništní doprava suti do 10 m</t>
  </si>
  <si>
    <t>Ostatní mat.</t>
  </si>
  <si>
    <t>54,5*3,0</t>
  </si>
  <si>
    <t>Ostatní náklady</t>
  </si>
  <si>
    <t>762342206RT4</t>
  </si>
  <si>
    <t>762911121R00</t>
  </si>
  <si>
    <t>1316,50</t>
  </si>
  <si>
    <t>130</t>
  </si>
  <si>
    <t>111,01</t>
  </si>
  <si>
    <t>Cenová</t>
  </si>
  <si>
    <t>Dle výběru investora</t>
  </si>
  <si>
    <t>včetně dodávky fólie tl. 0,04 mm</t>
  </si>
  <si>
    <t>765</t>
  </si>
  <si>
    <t>Příplatek za sklon od 30° do 45°,fólie na bednění</t>
  </si>
  <si>
    <t>133</t>
  </si>
  <si>
    <t>Chemické kotvy, cihly, hl. 125 mm, M16, malta POLY</t>
  </si>
  <si>
    <t>40*2+8*2</t>
  </si>
  <si>
    <t>170</t>
  </si>
  <si>
    <t>HSV prac</t>
  </si>
  <si>
    <t>Přesun hmot pro klempířské konstr., výšky do 24 m</t>
  </si>
  <si>
    <t>767_</t>
  </si>
  <si>
    <t>979999983R00</t>
  </si>
  <si>
    <t>942941823R00</t>
  </si>
  <si>
    <t>Fungicidní sanace koruny zdiva - intenzivní fungicidní postřik impregnačním prostředkem (typové označení min FB (P) Ip 1,2,3 SP</t>
  </si>
  <si>
    <t>139</t>
  </si>
  <si>
    <t>129</t>
  </si>
  <si>
    <t>K15</t>
  </si>
  <si>
    <t>151</t>
  </si>
  <si>
    <t>pod lešením</t>
  </si>
  <si>
    <t>Elektroinstalace</t>
  </si>
  <si>
    <t>;ztratné 15%; 0,9045</t>
  </si>
  <si>
    <t>K/12</t>
  </si>
  <si>
    <t>T3</t>
  </si>
  <si>
    <t>13</t>
  </si>
  <si>
    <t>12,9</t>
  </si>
  <si>
    <t>20% plochy fasády</t>
  </si>
  <si>
    <t>Falc.krytina ze svitkového hliníkového plechu,v.20 m,svitky š.650, přes 45°, tl.0,7mm</t>
  </si>
  <si>
    <t>včetně dodávky řeziva, hranoly 14/16</t>
  </si>
  <si>
    <t>Revizní technik</t>
  </si>
  <si>
    <t>(0,08+0,16)*2*(3,0*22)</t>
  </si>
  <si>
    <t>Demontáž stávající elektroinstalace</t>
  </si>
  <si>
    <t>"M"</t>
  </si>
  <si>
    <t>Konstrukce doplňkové stavební (zámečnické)</t>
  </si>
  <si>
    <t>34IM</t>
  </si>
  <si>
    <t>767999802R00_x1</t>
  </si>
  <si>
    <t>VORN celkem z obj.</t>
  </si>
  <si>
    <t>140</t>
  </si>
  <si>
    <t>Demontáž konstrukcí krovů z hranolů do 450 cm2</t>
  </si>
  <si>
    <t>97_</t>
  </si>
  <si>
    <t>Náklady zhotovitele na nutné konzultace se zpracovatelem PD při realizaci stavby</t>
  </si>
  <si>
    <t>15,20</t>
  </si>
  <si>
    <t>Zajištění vyjádření správců sítí vč. příslušných poplatků</t>
  </si>
  <si>
    <t>Ochranná trubka nerez</t>
  </si>
  <si>
    <t>Cena/MJ</t>
  </si>
  <si>
    <t>Demontáž lustrů -  dvouramenných</t>
  </si>
  <si>
    <t>2_HR_Z_</t>
  </si>
  <si>
    <t>Konec výstavby:</t>
  </si>
  <si>
    <t>127</t>
  </si>
  <si>
    <t>povinná rezerva 300 000 Kč</t>
  </si>
  <si>
    <t>953981304R00</t>
  </si>
  <si>
    <t>Montáž fólie na krokve přibitím se slepením spojů</t>
  </si>
  <si>
    <t>Ostatní náklady spojené s požadavky objednatele, které jsou uvedeny v jednotlivých článcích smlouvy o dílo, pokud nejsou zahrnuty v soupisech prací</t>
  </si>
  <si>
    <t>Kód</t>
  </si>
  <si>
    <t>S</t>
  </si>
  <si>
    <t>04VRN</t>
  </si>
  <si>
    <t>včetně dodávky materiálu</t>
  </si>
  <si>
    <t>43</t>
  </si>
  <si>
    <t>784011221RT1_x1</t>
  </si>
  <si>
    <t>762512115R00</t>
  </si>
  <si>
    <t>Dočasné zajištění elektroinstalačních a slaboproudých zařízení a rozvodů</t>
  </si>
  <si>
    <t>4,324</t>
  </si>
  <si>
    <t>Montáž vázaných krovů pravidelných do 288 cm2</t>
  </si>
  <si>
    <t>02VRN</t>
  </si>
  <si>
    <t>762084211R00_x1</t>
  </si>
  <si>
    <t>Izolační bandáž s lepidlem</t>
  </si>
  <si>
    <t>Montáž kov. atypických konstr. do 50 kg</t>
  </si>
  <si>
    <t>Demontáž střešního okna, hladká krytina, do 45°</t>
  </si>
  <si>
    <t>soubor</t>
  </si>
  <si>
    <t>MJ</t>
  </si>
  <si>
    <t>římsa - hlavní loď - odhadem - upravit dle skutečnosti - dle stavu římsy</t>
  </si>
  <si>
    <t>45</t>
  </si>
  <si>
    <t>40</t>
  </si>
  <si>
    <t>764454203R00</t>
  </si>
  <si>
    <t>;ztratné 10%; 0,121</t>
  </si>
  <si>
    <t>764773201R00</t>
  </si>
  <si>
    <t>(40+8)*1,5*1,99*0,001</t>
  </si>
  <si>
    <t>944944011R00</t>
  </si>
  <si>
    <t>979012212R00</t>
  </si>
  <si>
    <t>1_ST_6_</t>
  </si>
  <si>
    <t>Doplňkové náklady</t>
  </si>
  <si>
    <t>Držák vedení do zdiva</t>
  </si>
  <si>
    <t>nová omítka římsy věže - výška římsy věže nad pozednicí, šířka, obvod</t>
  </si>
  <si>
    <t>K/2</t>
  </si>
  <si>
    <t>998762103R00</t>
  </si>
  <si>
    <t>132</t>
  </si>
  <si>
    <t>Vyčištění budov o výšce podlaží nad 4 m</t>
  </si>
  <si>
    <t>E3</t>
  </si>
  <si>
    <t>PSV prac</t>
  </si>
  <si>
    <t>HSV</t>
  </si>
  <si>
    <t>979990161R00</t>
  </si>
  <si>
    <t>Vedlejší rozpočtové náklady VRN</t>
  </si>
  <si>
    <t>764454802R00</t>
  </si>
  <si>
    <t>952901114R00</t>
  </si>
  <si>
    <t>0,9*2,2*4</t>
  </si>
  <si>
    <t>9</t>
  </si>
  <si>
    <t>difúzní pojistná hydroizolace (PP, 500g/m2, 8mm, ekv.dif.tl.0,02m, faktor dif.odporu 33</t>
  </si>
  <si>
    <t>47,5*0,5</t>
  </si>
  <si>
    <t>Ochrana chodců u výkopů zábranami a přechodovými lávkami se zábradlím</t>
  </si>
  <si>
    <t>22,0</t>
  </si>
  <si>
    <t>98,16</t>
  </si>
  <si>
    <t>K/15</t>
  </si>
  <si>
    <t>;ztratné 15%; 15</t>
  </si>
  <si>
    <t>452,02</t>
  </si>
  <si>
    <t>143</t>
  </si>
  <si>
    <t>104</t>
  </si>
  <si>
    <t>Nepředvídané práce</t>
  </si>
  <si>
    <t>15</t>
  </si>
  <si>
    <t>95</t>
  </si>
  <si>
    <t>4IM</t>
  </si>
  <si>
    <t>9IM</t>
  </si>
  <si>
    <t>15IM</t>
  </si>
  <si>
    <t>ISWORK</t>
  </si>
  <si>
    <t>10,93+1,51+5,5*4+2,8*2</t>
  </si>
  <si>
    <t>T4</t>
  </si>
  <si>
    <t>Příplatek za sklon od nad 45°,fólie na bednění</t>
  </si>
  <si>
    <t>Celkem včetně DPH</t>
  </si>
  <si>
    <t>Celkem NUS</t>
  </si>
  <si>
    <t>142</t>
  </si>
  <si>
    <t>Základ 0%</t>
  </si>
  <si>
    <t>156</t>
  </si>
  <si>
    <t>E1</t>
  </si>
  <si>
    <t>150</t>
  </si>
  <si>
    <t>S_</t>
  </si>
  <si>
    <t>oprava z 10 %, malba</t>
  </si>
  <si>
    <t>Montáž lešení těž.,řad.s pod.š.2,5, H 30 m,300 kg</t>
  </si>
  <si>
    <t>Montáž ochranné sítě z umělých vláken</t>
  </si>
  <si>
    <t>Montáž protisněhové zábrany nerez</t>
  </si>
  <si>
    <t>52</t>
  </si>
  <si>
    <t>118</t>
  </si>
  <si>
    <t>765799311R00</t>
  </si>
  <si>
    <t>979012219R00</t>
  </si>
  <si>
    <t>viz výpis řeziva</t>
  </si>
  <si>
    <t>031002VRN_x3</t>
  </si>
  <si>
    <t>26IM</t>
  </si>
  <si>
    <t>51</t>
  </si>
  <si>
    <t>D+M osazení informační tabule s uvedením názvu stavby, investora stavby, zhotovitele stavby, uvedením termínu a realizace stavby, uvedení kontaktu na odpovědného stavbyvedoucího</t>
  </si>
  <si>
    <t>Finanční rezerva</t>
  </si>
  <si>
    <t>Montáž záchytné stříšky H 4,5 m, šířky nad 2 m</t>
  </si>
  <si>
    <t>včetně dodávky latí 4/6 cm</t>
  </si>
  <si>
    <t>Přesuny sutí</t>
  </si>
  <si>
    <t>Mont prac</t>
  </si>
  <si>
    <t>44</t>
  </si>
  <si>
    <t>712_</t>
  </si>
  <si>
    <t>Dokumentace skutečného provedení, předávací protokoly</t>
  </si>
  <si>
    <t>Příplatek k odvozu za každý další 1 km</t>
  </si>
  <si>
    <t>Demontáž konstrukcí krovů z hranolů do 224 cm2</t>
  </si>
  <si>
    <t>62_</t>
  </si>
  <si>
    <t>021002VRN_x2</t>
  </si>
  <si>
    <t>F</t>
  </si>
  <si>
    <t>23</t>
  </si>
  <si>
    <t>1_ST_78_</t>
  </si>
  <si>
    <t>Zásyp zeminou z výkopu</t>
  </si>
  <si>
    <t>RTS II / 2023</t>
  </si>
  <si>
    <t>998712103R00</t>
  </si>
  <si>
    <t>Držák vedení na hřeben nerez</t>
  </si>
  <si>
    <t>27IM</t>
  </si>
  <si>
    <t>767</t>
  </si>
  <si>
    <t>128</t>
  </si>
  <si>
    <t>59</t>
  </si>
  <si>
    <t>Izolace střech (živičné krytiny)</t>
  </si>
  <si>
    <t>109</t>
  </si>
  <si>
    <t>t</t>
  </si>
  <si>
    <t>117</t>
  </si>
  <si>
    <t>Montáž bednění střech rovných, prkna hrubá na sraz</t>
  </si>
  <si>
    <t>53</t>
  </si>
  <si>
    <t>99</t>
  </si>
  <si>
    <t>161</t>
  </si>
  <si>
    <t>Průzkumy, geodetické a projektové práce</t>
  </si>
  <si>
    <t>(0,16+0,24)*2*(2,0*2)</t>
  </si>
  <si>
    <t>Příplatek za každý měsíc použití lešení k pol.1021</t>
  </si>
  <si>
    <t>107</t>
  </si>
  <si>
    <t>plocha ZS cca 100m2</t>
  </si>
  <si>
    <t>Montáž kontralatí na vruty, s těsnicí páskou</t>
  </si>
  <si>
    <t>944945193R00</t>
  </si>
  <si>
    <t>K/4</t>
  </si>
  <si>
    <t>x2</t>
  </si>
  <si>
    <t>sklon střechy 50 - 60 stupňů</t>
  </si>
  <si>
    <t>01VRN_</t>
  </si>
  <si>
    <t>125</t>
  </si>
  <si>
    <t>8014712</t>
  </si>
  <si>
    <t>JKSO:</t>
  </si>
  <si>
    <t>11IM</t>
  </si>
  <si>
    <t>85</t>
  </si>
  <si>
    <t>plachta min 200g/m2, včetně pomocné konstrukce proti prověšení</t>
  </si>
  <si>
    <t>64</t>
  </si>
  <si>
    <t>18_</t>
  </si>
  <si>
    <t>Spojovací prostředky pro vázané konstrukce</t>
  </si>
  <si>
    <t>73,99</t>
  </si>
  <si>
    <t>3*3</t>
  </si>
  <si>
    <t>Pořizování fotodokumentace stavby včetně pasportizace před zahájením stavby (ze stejných míst)</t>
  </si>
  <si>
    <t>Zakrytí otvorů na fasádě před demontáží krovu</t>
  </si>
  <si>
    <t>762341210R00</t>
  </si>
  <si>
    <t>Makovice</t>
  </si>
  <si>
    <t>942941821R00</t>
  </si>
  <si>
    <t>29IM</t>
  </si>
  <si>
    <t>05VRN</t>
  </si>
  <si>
    <t>77</t>
  </si>
  <si>
    <t>DN celkem</t>
  </si>
  <si>
    <t>(0,1+0,16)*2*(8,0*8+2,0*8)</t>
  </si>
  <si>
    <t>764312841R00</t>
  </si>
  <si>
    <t>116</t>
  </si>
  <si>
    <t>GROUPCODE</t>
  </si>
  <si>
    <t>764421290RT2</t>
  </si>
  <si>
    <t>146</t>
  </si>
  <si>
    <t>(0,25+0,05)*2*(3,0*2+4,01*1)</t>
  </si>
  <si>
    <t>944944031R00</t>
  </si>
  <si>
    <t>Provozní vlivy</t>
  </si>
  <si>
    <t>5</t>
  </si>
  <si>
    <t>Příplatek za každý měsíc použ.stříšky, k pol. 5013</t>
  </si>
  <si>
    <t>Vyčištění prostoru půdy</t>
  </si>
  <si>
    <t>Montáž fólie na bednění přibitím, přelepení spojů</t>
  </si>
  <si>
    <t>144</t>
  </si>
  <si>
    <t>Druh stavby:</t>
  </si>
  <si>
    <t>podezdívka pod pozednicí - hlavní loď a sakristie</t>
  </si>
  <si>
    <t>Závěrečný úklid objektu</t>
  </si>
  <si>
    <t>42,5*3,0</t>
  </si>
  <si>
    <t>Práce spojené s restaurátorskými pracemi a  drobnými úpravami dle poznámek v TZ</t>
  </si>
  <si>
    <t>oplocení 150m - stavební mobilní oplocení výšky 2,1m</t>
  </si>
  <si>
    <t>765341841R00</t>
  </si>
  <si>
    <t>783624920R00</t>
  </si>
  <si>
    <t>162</t>
  </si>
  <si>
    <t>K/7</t>
  </si>
  <si>
    <t>12IM</t>
  </si>
  <si>
    <t>784</t>
  </si>
  <si>
    <t>764775314R00</t>
  </si>
  <si>
    <t>964061331R00</t>
  </si>
  <si>
    <t>96</t>
  </si>
  <si>
    <t>762331814R00</t>
  </si>
  <si>
    <t>622476234RT1</t>
  </si>
  <si>
    <t>Zpracováno dne:</t>
  </si>
  <si>
    <t>979990210R00</t>
  </si>
  <si>
    <t>Demontáž lešení těž.řad.s pod.š.2,5, H 10 m,300 kg</t>
  </si>
  <si>
    <t>61,39-1,13-11,73-35,99-5,0</t>
  </si>
  <si>
    <t>783</t>
  </si>
  <si>
    <t>nalepení</t>
  </si>
  <si>
    <t>998765103R00</t>
  </si>
  <si>
    <t>Bourání zdiva z cihel pálených na MVC</t>
  </si>
  <si>
    <t>Demontáž krytiny, tab.2 x 0,67 m, do 25 m2, nad 45°</t>
  </si>
  <si>
    <t>5IM</t>
  </si>
  <si>
    <t>10</t>
  </si>
  <si>
    <t>149</t>
  </si>
  <si>
    <t>Montáž lešení těž.,řad.s pod.š.2,5, H 10 m,300 kg</t>
  </si>
  <si>
    <t>58</t>
  </si>
  <si>
    <t>36</t>
  </si>
  <si>
    <t>Revize hromosvodu</t>
  </si>
  <si>
    <t>8IM</t>
  </si>
  <si>
    <t>Kulatina FeZn 10</t>
  </si>
  <si>
    <t>762331812R00</t>
  </si>
  <si>
    <t>14</t>
  </si>
  <si>
    <t>VORN - Vedlejší a ostatní rozpočtové náklady</t>
  </si>
  <si>
    <t>31</t>
  </si>
  <si>
    <t>84</t>
  </si>
  <si>
    <t>Množství</t>
  </si>
  <si>
    <t>38</t>
  </si>
  <si>
    <t>VORN celkem</t>
  </si>
  <si>
    <t>Demontáž konstrukcí krovů z hranolů do 120 cm2</t>
  </si>
  <si>
    <t>174</t>
  </si>
  <si>
    <t>952902121R00</t>
  </si>
  <si>
    <t>Odstranění povlakové krytiny střech do 30°, 1 vrstva</t>
  </si>
  <si>
    <t>Budovy občanské výstavby</t>
  </si>
  <si>
    <t>3,75*2</t>
  </si>
  <si>
    <t>95_</t>
  </si>
  <si>
    <t>979990107R00</t>
  </si>
  <si>
    <t>Montáž kotevních želez, příložek, patek, táhel</t>
  </si>
  <si>
    <t>762088116R00</t>
  </si>
  <si>
    <t>Typ skupiny</t>
  </si>
  <si>
    <t>73</t>
  </si>
  <si>
    <t>1_ST_1_</t>
  </si>
  <si>
    <t>762</t>
  </si>
  <si>
    <t>Potřebné skládky a meziskládky</t>
  </si>
  <si>
    <t>K/3</t>
  </si>
  <si>
    <t>Zakrytí oken, včetně odstranění</t>
  </si>
  <si>
    <t>40+8</t>
  </si>
  <si>
    <t>762_</t>
  </si>
  <si>
    <t>Penetrace podkladu v jedné vrstvě a nátěr silikonový ve dvou vrstvách</t>
  </si>
  <si>
    <t>61_</t>
  </si>
  <si>
    <t>56</t>
  </si>
  <si>
    <t>Demontáž, zajištění, zpětná montáž a uvedení do provozu</t>
  </si>
  <si>
    <t>19</t>
  </si>
  <si>
    <t>C</t>
  </si>
  <si>
    <t>764352811R00</t>
  </si>
  <si>
    <t>Hřebenáč pro větrané střechy, oblý, s integrovanou protihmyzovou mřížkou a příslušenstvím, vč.těsnící pásky a připevnění nerezovými šrouby</t>
  </si>
  <si>
    <t>Náklady (Kč)</t>
  </si>
  <si>
    <t>do 224cm2, hlavní loď a sakristie, viz výpis řeziva</t>
  </si>
  <si>
    <t>622477242R00</t>
  </si>
  <si>
    <t>110</t>
  </si>
  <si>
    <t>39</t>
  </si>
  <si>
    <t>30</t>
  </si>
  <si>
    <t>K/5</t>
  </si>
  <si>
    <t>IČO/DIČ:</t>
  </si>
  <si>
    <t>H01</t>
  </si>
  <si>
    <t>hod</t>
  </si>
  <si>
    <t>Ostatní</t>
  </si>
  <si>
    <t>86</t>
  </si>
  <si>
    <t>013002VRN_x1</t>
  </si>
  <si>
    <t>979081121R00</t>
  </si>
  <si>
    <t>33IM</t>
  </si>
  <si>
    <t>Označení stavby</t>
  </si>
  <si>
    <t>2IM</t>
  </si>
  <si>
    <t>55</t>
  </si>
  <si>
    <t>Zpracování dílenské a výrobní dokumentace</t>
  </si>
  <si>
    <t>Demontáž doplňků staveb o hmotnosti do 50 kg</t>
  </si>
  <si>
    <t>030001VRN</t>
  </si>
  <si>
    <t>2,9*2</t>
  </si>
  <si>
    <t>(0,1+0,16)*2*(2,0*39)</t>
  </si>
  <si>
    <t>Zpracoval:</t>
  </si>
  <si>
    <t>(0,08+0,16)*2*(3,0*6)</t>
  </si>
  <si>
    <t>Výkop drážky pro páskový zemnič š. 30cm hl. 100cm</t>
  </si>
  <si>
    <t>01.12.2023</t>
  </si>
  <si>
    <t>47,5*0,5*0,5</t>
  </si>
  <si>
    <t>76</t>
  </si>
  <si>
    <t>Odhadem</t>
  </si>
  <si>
    <t>1_ST</t>
  </si>
  <si>
    <t>Soubor</t>
  </si>
  <si>
    <t>998011003R00</t>
  </si>
  <si>
    <t>52,40</t>
  </si>
  <si>
    <t>013002VRN_x3</t>
  </si>
  <si>
    <t>hlavní loď, sakristie</t>
  </si>
  <si>
    <t>Zhotovitel</t>
  </si>
  <si>
    <t>(0,16+0,16)*2*(4,0*4)</t>
  </si>
  <si>
    <t>2</t>
  </si>
  <si>
    <t>Projektant:</t>
  </si>
  <si>
    <t>19IM</t>
  </si>
  <si>
    <t/>
  </si>
  <si>
    <t>152</t>
  </si>
  <si>
    <t>17</t>
  </si>
  <si>
    <t>Držák vedení do střešní krytiny nerez</t>
  </si>
  <si>
    <t>ks</t>
  </si>
  <si>
    <t>98</t>
  </si>
  <si>
    <t>112</t>
  </si>
  <si>
    <t>Doplnění zdiva hlavních a kordonových říms cihlami</t>
  </si>
  <si>
    <t>Lešení a stavební výtahy</t>
  </si>
  <si>
    <t>Demontáž konstrukcí krovů z hranolů do 288 cm2</t>
  </si>
  <si>
    <t>21</t>
  </si>
  <si>
    <t>náklady na vybudování, používání a likvidaci staveniště vč. napojení na potřebná média a jejich spotřeby a vč. nákladů na uvedení pronajatých ploch do původního stavu, oplocení a ostraha staveniště, vč.umístění buněk stavby (kontejner kancelář, sklad, denní místnost), wc, koupelna</t>
  </si>
  <si>
    <t>Příplatek za sklon střechy nad 30 do 60°, odstranění povlakové krytiny střech</t>
  </si>
  <si>
    <t>2_HR_Hromosvod</t>
  </si>
  <si>
    <t>764362811R00</t>
  </si>
  <si>
    <t>20IM</t>
  </si>
  <si>
    <t>Oplechování říms z Pz plechu, rš 250 mm</t>
  </si>
  <si>
    <t>09VRN_</t>
  </si>
  <si>
    <t>hlavní loď a sakristie, viz výpis řeziva</t>
  </si>
  <si>
    <t>979081111R00</t>
  </si>
  <si>
    <t>Úprava povrchů vnitřní</t>
  </si>
  <si>
    <t>Práce přesčas</t>
  </si>
  <si>
    <t>31_</t>
  </si>
  <si>
    <t>Slepý stavební rozpočet (1_ST - 1_ST_Stavební část)</t>
  </si>
  <si>
    <t>30IM</t>
  </si>
  <si>
    <t>61</t>
  </si>
  <si>
    <t>Přesun</t>
  </si>
  <si>
    <t>762084211R00</t>
  </si>
  <si>
    <t>341,76</t>
  </si>
  <si>
    <t>3,9</t>
  </si>
  <si>
    <t>126</t>
  </si>
  <si>
    <t>124</t>
  </si>
  <si>
    <t>AlMgSi 8</t>
  </si>
  <si>
    <t>712</t>
  </si>
  <si>
    <t>1x denní místnost, 1x wc, 1x koupelna</t>
  </si>
  <si>
    <t>158</t>
  </si>
  <si>
    <t>12</t>
  </si>
  <si>
    <t>01VRN</t>
  </si>
  <si>
    <t>(0,25+0,05)*2*(15,0*2+3,0*2+4,0*1)</t>
  </si>
  <si>
    <t>Kulturní památka</t>
  </si>
  <si>
    <t>Položení podlahových desek na pero a drážku</t>
  </si>
  <si>
    <t>30% plochy římsy</t>
  </si>
  <si>
    <t>Odvoz suti a vybour. hmot na skládku do 1 km</t>
  </si>
  <si>
    <t>31IM</t>
  </si>
  <si>
    <t>Různé dokončovací konstrukce a práce na pozemních stavbách</t>
  </si>
  <si>
    <t>168</t>
  </si>
  <si>
    <t>Bourání konstrukcí</t>
  </si>
  <si>
    <t>předpoklad 3,0%</t>
  </si>
  <si>
    <t>35IM</t>
  </si>
  <si>
    <t>Zdivo nosné cihelné z cihel pálených 290 mm P15 na maltu cementovou 10 MPa</t>
  </si>
  <si>
    <t>1,6068</t>
  </si>
  <si>
    <t>182951111RT2</t>
  </si>
  <si>
    <t>13,001+2,6826</t>
  </si>
  <si>
    <t>DPH 21%</t>
  </si>
  <si>
    <t>1_ST_71_</t>
  </si>
  <si>
    <t>952901411R00_x1</t>
  </si>
  <si>
    <t>311231116RT2</t>
  </si>
  <si>
    <t>134</t>
  </si>
  <si>
    <t>Příplatek za každý měsíc použití lešení k pol.1023</t>
  </si>
  <si>
    <t>K/8</t>
  </si>
  <si>
    <t>Uvolnění zhlaví trámu, zeď cihel, průřezu 0,05 m2</t>
  </si>
  <si>
    <t>Omítka vnější silikátová, 2.vrst., slož.3</t>
  </si>
  <si>
    <t>Prořez</t>
  </si>
  <si>
    <t>3IM</t>
  </si>
  <si>
    <t>090001VRN_x1</t>
  </si>
  <si>
    <t>Předpoklad:</t>
  </si>
  <si>
    <t>Elektromontáže</t>
  </si>
  <si>
    <t>Přesun hmot pro krytiny tvrdé, výšky do 24 m</t>
  </si>
  <si>
    <t>210290681R00_x1</t>
  </si>
  <si>
    <t>764359212R00</t>
  </si>
  <si>
    <t>Ochranná mřížka proti ptákům, šířka 125 mm</t>
  </si>
  <si>
    <t>Celkem VORN</t>
  </si>
  <si>
    <t>kpl</t>
  </si>
  <si>
    <t>3_VRN</t>
  </si>
  <si>
    <t>Řezivo na výrobu bednění</t>
  </si>
  <si>
    <t>49</t>
  </si>
  <si>
    <t>381,50+935,0</t>
  </si>
  <si>
    <t>Z88888_</t>
  </si>
  <si>
    <t>72</t>
  </si>
  <si>
    <t>Přesuny</t>
  </si>
  <si>
    <t>MAT</t>
  </si>
  <si>
    <t>764391320R00</t>
  </si>
  <si>
    <t>Demontáž odpadních trub kruhových, D 120 mm</t>
  </si>
  <si>
    <t>70</t>
  </si>
  <si>
    <t>764421260RT2</t>
  </si>
  <si>
    <t>Montáž lustrů -  dvouramenných</t>
  </si>
  <si>
    <t>včetně dodávky netkané zahradnické textilie</t>
  </si>
  <si>
    <t>(1,35*2,5+0,85*2,0*2+0,9*3,0*2+0,9*2,5+0,9*2,2*3+0,9*3,0*(3+3)+0,55*1,1*2)*0,032</t>
  </si>
  <si>
    <t>941955004R00</t>
  </si>
  <si>
    <t>8</t>
  </si>
  <si>
    <t>Projektová dokumentace skutečného provedení v3 tištěných vyhotoveních a 1x v digitální formě ve formátu pdf na elektronickém záznamovém nosiči, doklady ke kolaudaci, revizní zprávy, tlakové zkoušky, prohlášení o shodě k použitým materiálům</t>
  </si>
  <si>
    <t>Celkem:</t>
  </si>
  <si>
    <t>764421240RT2</t>
  </si>
  <si>
    <t>Mimostav. doprava</t>
  </si>
  <si>
    <t>(0,08+0,16)*2*(1,5*4)</t>
  </si>
  <si>
    <t>Nátěry</t>
  </si>
  <si>
    <t>18</t>
  </si>
  <si>
    <t>DN celkem z obj.</t>
  </si>
  <si>
    <t>předpoklad 4,5%</t>
  </si>
  <si>
    <t>Oplechování okapů Al, tvrdá krytina, rš 660 mm</t>
  </si>
  <si>
    <t>46</t>
  </si>
  <si>
    <t>764_</t>
  </si>
  <si>
    <t>22IM</t>
  </si>
  <si>
    <t>Kříž</t>
  </si>
  <si>
    <t>(0,12+0,18)*2*(3,5*2)</t>
  </si>
  <si>
    <t>31179109</t>
  </si>
  <si>
    <t>Radek Vašenda, DiS</t>
  </si>
  <si>
    <t>Držák ochranné trubky</t>
  </si>
  <si>
    <t>(0,25+0,05)*2*(2,5*8)</t>
  </si>
  <si>
    <t>Ztížené pracovní podmínky - výškové práce</t>
  </si>
  <si>
    <t>Oprava vnější omítky stěn štukové,sl.IV,do 30%,SMS</t>
  </si>
  <si>
    <t>762086113R00</t>
  </si>
  <si>
    <t>Demontáž záchytné stříšky H 4,5 m, šířky nad 2 m</t>
  </si>
  <si>
    <t>Úprava povrchů vnější</t>
  </si>
  <si>
    <t>100</t>
  </si>
  <si>
    <t>108</t>
  </si>
  <si>
    <t>50</t>
  </si>
  <si>
    <t>římsa - hlavní loď a sakristie - odhadem - upravit dle skutečnosti - dle stavu římsy pod demontáži k</t>
  </si>
  <si>
    <t>m</t>
  </si>
  <si>
    <t>Inženýrské činnosti</t>
  </si>
  <si>
    <t>;ztratné 20%; 33,27</t>
  </si>
  <si>
    <t>04VRN_</t>
  </si>
  <si>
    <t>Stavební výpomoce</t>
  </si>
  <si>
    <t>11</t>
  </si>
  <si>
    <t>Základ 12%</t>
  </si>
  <si>
    <t>32</t>
  </si>
  <si>
    <t>Církevní stavba</t>
  </si>
  <si>
    <t>764331360R00</t>
  </si>
  <si>
    <t>764773306R00</t>
  </si>
  <si>
    <t>Kaple sv.Cyrila a Metoděje</t>
  </si>
  <si>
    <t>Objednatel:</t>
  </si>
  <si>
    <t>1IM</t>
  </si>
  <si>
    <t>Zábrana protisněhová jednotrubková - tyč DN15, vč.trubek, příchytek, spojek. Nerez/Al, vč.montážní podložky</t>
  </si>
  <si>
    <t>942941193R00</t>
  </si>
  <si>
    <t>60_</t>
  </si>
  <si>
    <t>47,5*0,3*0,1</t>
  </si>
  <si>
    <t>PSV mat</t>
  </si>
  <si>
    <t>14IM</t>
  </si>
  <si>
    <t>Demontáž původní instalace</t>
  </si>
  <si>
    <t>Vypálení rhizomorf PB hořákem</t>
  </si>
  <si>
    <t>16IM</t>
  </si>
  <si>
    <t>sakristie</t>
  </si>
  <si>
    <t>210290681R00</t>
  </si>
  <si>
    <t>Krytina tvrdá</t>
  </si>
  <si>
    <t>Příprava staveniště</t>
  </si>
  <si>
    <t>3+1</t>
  </si>
  <si>
    <t>v případě zatečení či popraskání kleneb</t>
  </si>
  <si>
    <t>3</t>
  </si>
  <si>
    <t>(0,12+0,12)*2*(1,5*16)</t>
  </si>
  <si>
    <t>Odstranění holubího trusu z podlah do tl. 5 cm</t>
  </si>
  <si>
    <t>Montáž vázaných krovů pravidelných do 224 cm2</t>
  </si>
  <si>
    <t>102</t>
  </si>
  <si>
    <t>998764103R00</t>
  </si>
  <si>
    <t>Zhotovitel:</t>
  </si>
  <si>
    <t>765799315R00_x1</t>
  </si>
  <si>
    <t>%</t>
  </si>
  <si>
    <t>Údržba, nátěr synt. truhl.výr. 2x +1x email +1x tm</t>
  </si>
  <si>
    <t>764410270RT2</t>
  </si>
  <si>
    <t>96_</t>
  </si>
  <si>
    <t>(70,7*7,0+10,1*9,0)</t>
  </si>
  <si>
    <t>Oplechování říms z Pz plechu, rš 400 mm</t>
  </si>
  <si>
    <t>7,6</t>
  </si>
  <si>
    <t>784_</t>
  </si>
  <si>
    <t>35</t>
  </si>
  <si>
    <t>Položení netkané textilie bez upevnění</t>
  </si>
  <si>
    <t>M65</t>
  </si>
  <si>
    <t>043002VRN_x4</t>
  </si>
  <si>
    <t>Hoblování tesařských prvků - ručně</t>
  </si>
  <si>
    <t>Začátek výstavby:</t>
  </si>
  <si>
    <t>54,5*7,0</t>
  </si>
  <si>
    <t>napojení na NN - z objektu - podružné měření spotřeby</t>
  </si>
  <si>
    <t>021002VRN_x1</t>
  </si>
  <si>
    <t>viz výměra lešení</t>
  </si>
  <si>
    <t>60511133</t>
  </si>
  <si>
    <t>A</t>
  </si>
  <si>
    <t>764348393R00_x1</t>
  </si>
  <si>
    <t>Mont mat</t>
  </si>
  <si>
    <t>Podpěra vedení na okapy komplet</t>
  </si>
  <si>
    <t>163</t>
  </si>
  <si>
    <t>K/1</t>
  </si>
  <si>
    <t>1_ST_Stavební část</t>
  </si>
  <si>
    <t>Oplechování parapetů včetně rohů Pz, rš 500 mm</t>
  </si>
  <si>
    <t>Otesání tesařských prvků průřezu do 450 cm2</t>
  </si>
  <si>
    <t>622412223R00</t>
  </si>
  <si>
    <t>Slepý stavební rozpočet</t>
  </si>
  <si>
    <t>93</t>
  </si>
  <si>
    <t>Výškové úpravy povrchových znaků podzemních sítí a zařízení technického vybavení</t>
  </si>
  <si>
    <t>173</t>
  </si>
  <si>
    <t>762332120RT3</t>
  </si>
  <si>
    <t>157</t>
  </si>
  <si>
    <t>101</t>
  </si>
  <si>
    <t>bednění, sakristie</t>
  </si>
  <si>
    <t>75</t>
  </si>
  <si>
    <t>54</t>
  </si>
  <si>
    <t>Zakrytí otvorů na fasádě před sanací omítky</t>
  </si>
  <si>
    <t>Zakrývání provizorní plachtou 15x20m,vč.odstranění</t>
  </si>
  <si>
    <t>Otesání tesařských prvků průřezu do 288 cm2</t>
  </si>
  <si>
    <t xml:space="preserve"> </t>
  </si>
  <si>
    <t>70,7*7,0+10,1*9,0</t>
  </si>
  <si>
    <t>136</t>
  </si>
  <si>
    <t>Penetrace hloubková stěn, silikátová s přídavkem křemičitého písku</t>
  </si>
  <si>
    <t>153</t>
  </si>
  <si>
    <t>013002VRN_x2</t>
  </si>
  <si>
    <t>OC1</t>
  </si>
  <si>
    <t>Poplatek za likvidaci nebezpečného odpadu - holubí trus</t>
  </si>
  <si>
    <t>Závětrná lišta z Al plechu, rš 330 mm</t>
  </si>
  <si>
    <t>1x kontejner kancelář stavby</t>
  </si>
  <si>
    <t>123</t>
  </si>
  <si>
    <t>159</t>
  </si>
  <si>
    <t>Poplatek za uložení - dřevo, skupina odpadu 170201</t>
  </si>
  <si>
    <t>Lešení lehké pomocné, výška podlahy do 3,5 m</t>
  </si>
  <si>
    <t>(0,12+0,18)*2*(6,0*4)</t>
  </si>
  <si>
    <t>Vlastní VORN</t>
  </si>
  <si>
    <t>Objednatel</t>
  </si>
  <si>
    <t>ochrana podlah</t>
  </si>
  <si>
    <t>7IM</t>
  </si>
  <si>
    <t>57</t>
  </si>
  <si>
    <t>(Kč)</t>
  </si>
  <si>
    <t>Podkladní hliníkový pás pro falcované šablony, tl.1 mm</t>
  </si>
  <si>
    <t>Průběžné čištění veřejných komunikací znečištěných zhotovitelem stavby při její realizaci, čištění vozidel při výjezdu ze stavby, průběžné kropení celého staveniště proti prašnosti</t>
  </si>
  <si>
    <t>Zakrytí oken prkny, včetně odstranění</t>
  </si>
  <si>
    <t>22</t>
  </si>
  <si>
    <t>115</t>
  </si>
  <si>
    <t>Finanční náklady</t>
  </si>
  <si>
    <t>601016195R00_x1</t>
  </si>
  <si>
    <t>Územní vlivy</t>
  </si>
  <si>
    <t>3*(54,5*7,0)</t>
  </si>
  <si>
    <t>Zdi podpěrné a volné</t>
  </si>
  <si>
    <t>Žlaby z Pz plechu podokapní půlkruhové, rš 330 mm</t>
  </si>
  <si>
    <t>Koncentrovaný vodou ředitelný fungicidní a insekticidní přípravek na dřevo i zdivo. Přípravek poskytuje dlouhodobou ochranu proti dřevokaznému hmyzu, dřevokazným houbám a plísním.</t>
  </si>
  <si>
    <t>m3</t>
  </si>
  <si>
    <t>DPH 12%</t>
  </si>
  <si>
    <t>hlavní loď a sakristie - celkový obvod po okap hlavní lodi a doplnění výměry u věže od okapu po vrch</t>
  </si>
  <si>
    <t>Zařízení staveniště - zřízení a zrušení, včetně úpravy plochy (uvedení do původního stavu)</t>
  </si>
  <si>
    <t>Příplatek pro bednění a laťování ve výšce nad 12 m</t>
  </si>
  <si>
    <t>Demontáž žlabů půlkruh. rovných, rš 330 mm, do 45°</t>
  </si>
  <si>
    <t>Zazděné prvky, zhlaví trámů - upřesnit na místě</t>
  </si>
  <si>
    <t>Datum:</t>
  </si>
  <si>
    <t>27</t>
  </si>
  <si>
    <t>2,9+4,0+2,9</t>
  </si>
  <si>
    <t>37</t>
  </si>
  <si>
    <t>80</t>
  </si>
  <si>
    <t>m2</t>
  </si>
  <si>
    <t>41</t>
  </si>
  <si>
    <t>Okapová svorka SO c N</t>
  </si>
  <si>
    <t>Průzkum přítomnosti rhizomorf ve zdivu</t>
  </si>
  <si>
    <t>23IM</t>
  </si>
  <si>
    <t>Přesun hmot a sutí</t>
  </si>
  <si>
    <t>NUS z rozpočtu</t>
  </si>
  <si>
    <t>762085153R00</t>
  </si>
  <si>
    <t>151,15*0,032</t>
  </si>
  <si>
    <t>Projektová dokumentace skutečného provedení stavby</t>
  </si>
  <si>
    <t>1</t>
  </si>
  <si>
    <t>Svislá doprava suti a vybour. hmot na H do 4 m</t>
  </si>
  <si>
    <t>7</t>
  </si>
  <si>
    <t>0,6144</t>
  </si>
  <si>
    <t>PPV</t>
  </si>
  <si>
    <t>Rozměry</t>
  </si>
  <si>
    <t>(14,2+3,2+4,0+3,2+14,2)</t>
  </si>
  <si>
    <t>10IM</t>
  </si>
  <si>
    <t>978023411R00</t>
  </si>
  <si>
    <t>Slepý stavební rozpočet (3_VRN - 3_VRN)</t>
  </si>
  <si>
    <t>0,9*(2+3+3)</t>
  </si>
  <si>
    <t>74</t>
  </si>
  <si>
    <t>Položek:</t>
  </si>
  <si>
    <t>NUS celkem</t>
  </si>
  <si>
    <t>Demontáž oplechování říms,atik, lemů a jiných klempířských prvků</t>
  </si>
  <si>
    <t>WORK</t>
  </si>
  <si>
    <t>Povrchové úpravy terénu</t>
  </si>
  <si>
    <t>164</t>
  </si>
  <si>
    <t>Označovací číslo svodu</t>
  </si>
  <si>
    <t>131</t>
  </si>
  <si>
    <t>H01_</t>
  </si>
  <si>
    <t>979082111R00</t>
  </si>
  <si>
    <t>83</t>
  </si>
  <si>
    <t>764322350R00</t>
  </si>
  <si>
    <t>032002VRN_x1</t>
  </si>
  <si>
    <t>114</t>
  </si>
  <si>
    <t>47</t>
  </si>
  <si>
    <t>Vysekání a úprava spár zdiva cihelného mimo komín.</t>
  </si>
  <si>
    <t>HSV mat</t>
  </si>
  <si>
    <t>Kč</t>
  </si>
  <si>
    <t>18IM</t>
  </si>
  <si>
    <t>762311103R00</t>
  </si>
  <si>
    <t>M21_</t>
  </si>
  <si>
    <t>979990121R00</t>
  </si>
  <si>
    <t>1,35*2,5+0,85*2,0*2+0,9*3,0*2+0,9*2,5+0,9*2,2*3+0,9*3,0*(3+3)+0,55*1,1*2</t>
  </si>
  <si>
    <t>944945013R00</t>
  </si>
  <si>
    <t>66</t>
  </si>
  <si>
    <t>1316,50*3</t>
  </si>
  <si>
    <t>zdivo napadené dřevokaznými houbami</t>
  </si>
  <si>
    <t>Celkem VRN</t>
  </si>
  <si>
    <t>Oprava profilace prvků - odstranění nesoudržných vrstev a částí, doplnění římsy či profilace, včetně nátěrů</t>
  </si>
  <si>
    <t>1_ST_</t>
  </si>
  <si>
    <t>942941021R00</t>
  </si>
  <si>
    <t>622904115R00</t>
  </si>
  <si>
    <t>Oprava vnější omítky stěn štukové,sl.IV,do 20%,SMS</t>
  </si>
  <si>
    <t>712400831RT3</t>
  </si>
  <si>
    <t>Demontáž ochranné sítě z umělých vláken</t>
  </si>
  <si>
    <t>Příplatek pro bednění a laťování ve výšce 4 - 12 m</t>
  </si>
  <si>
    <t>Přesun hmot pro budovy zděné výšky do 24 m</t>
  </si>
  <si>
    <t>římsy - hlavní loď a sakristie - odhadem - upravit dle skutečnosti - dle stavu římsy pod demontáži k</t>
  </si>
  <si>
    <t>4,5*0,3*0,5*4</t>
  </si>
  <si>
    <t>včetně dodávky řeziva, hranoly 18/25</t>
  </si>
  <si>
    <t>Konstrukce tesařské</t>
  </si>
  <si>
    <t>P2</t>
  </si>
  <si>
    <t>Položkový rozpočet stavby a soupis prací (slepý rozpočet) zpracován dle Projektové dokumentace: "Kaple sv.Cyrila a Metoděje", Radek Vašenda, DiS, 09/2023. Nedílnou součástí rozpočtu je celá projektová dokumetnace včetně technických standardů použitých materiálů. 
Použitá cenová soustava je RTS II/2023 nebo vlastní položky.</t>
  </si>
  <si>
    <t>155</t>
  </si>
  <si>
    <t>13IM</t>
  </si>
  <si>
    <t>90</t>
  </si>
  <si>
    <t>89</t>
  </si>
  <si>
    <t>6IM</t>
  </si>
  <si>
    <t>0,9</t>
  </si>
  <si>
    <t>Ing.Lucie Szöke</t>
  </si>
  <si>
    <t>Celkem DN</t>
  </si>
  <si>
    <t>M65_</t>
  </si>
  <si>
    <t>88</t>
  </si>
  <si>
    <t>3_VRN_ _</t>
  </si>
  <si>
    <t>031002VRN_x2</t>
  </si>
  <si>
    <t>148</t>
  </si>
  <si>
    <t>Zkrácený popis</t>
  </si>
  <si>
    <t>767995104R00_x1</t>
  </si>
  <si>
    <t>28</t>
  </si>
  <si>
    <t>111</t>
  </si>
  <si>
    <t>2_HR</t>
  </si>
  <si>
    <t>předpoklad 10%</t>
  </si>
  <si>
    <t>962032231R00</t>
  </si>
  <si>
    <t>(0,18+0,24)*2*(7,5*5)</t>
  </si>
  <si>
    <t>(0,1+0,16)*2*(1,0*11)</t>
  </si>
  <si>
    <t>Třídění odpadů</t>
  </si>
  <si>
    <t>28IM</t>
  </si>
  <si>
    <t>CELK</t>
  </si>
  <si>
    <t>113</t>
  </si>
  <si>
    <t>106</t>
  </si>
  <si>
    <t>94_</t>
  </si>
  <si>
    <t>1_ST_76_</t>
  </si>
  <si>
    <t>188,35</t>
  </si>
  <si>
    <t>05VRN_</t>
  </si>
  <si>
    <t>65</t>
  </si>
  <si>
    <t>VATTAX</t>
  </si>
  <si>
    <t>Prorážení otvorů a ostatní bourací práce</t>
  </si>
  <si>
    <t>dvojnásobný postřik 25% roztoku v dávce min.60g/m2 koncentrátu + fungistatickou zábranu z fungicidní malty (fungicid 6l/1m3 malty</t>
  </si>
  <si>
    <t>169</t>
  </si>
  <si>
    <t>34</t>
  </si>
  <si>
    <t>764774523R00</t>
  </si>
  <si>
    <t>62</t>
  </si>
  <si>
    <t>Doplňkové náklady DN</t>
  </si>
  <si>
    <t>dle kontroly na místě</t>
  </si>
  <si>
    <t>Svorka pásek - kulatina nerez</t>
  </si>
  <si>
    <t>87776316/</t>
  </si>
  <si>
    <t>na bednění</t>
  </si>
  <si>
    <t>(0,12+0,16)*2*(2,5*5+1,5*4)</t>
  </si>
  <si>
    <t>Asfaltový nátěr spojů</t>
  </si>
  <si>
    <t>Dle potřeb stavby</t>
  </si>
  <si>
    <t>(1,55+1,55+0,85+0,85)+(2,36*2)</t>
  </si>
  <si>
    <t>61,39</t>
  </si>
  <si>
    <t>Náklady na pracovníky</t>
  </si>
  <si>
    <t>Spojovací svorka SS nerez</t>
  </si>
  <si>
    <t>včetně dodávky řeziva, hranoly 16/18</t>
  </si>
  <si>
    <t>P1</t>
  </si>
  <si>
    <t>765799315R00</t>
  </si>
  <si>
    <t>Falcované hliníkové šablony 440x440, tl. 0,7 mm</t>
  </si>
  <si>
    <t>030001VRN_x1</t>
  </si>
  <si>
    <t>Odpadní trouby z Pz plechu, kruhové, D 120 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</si>
</sst>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7"/>
      <name val="Arial"/>
      <family val="0"/>
    </font>
    <font>
      <i/>
      <sz val="10"/>
      <color indexed="18"/>
      <name val="Arial"/>
      <family val="0"/>
    </font>
    <font>
      <i/>
      <sz val="10"/>
      <color indexed="16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0"/>
      <color rgb="FF008000"/>
      <name val="Arial"/>
      <family val="0"/>
    </font>
    <font>
      <i/>
      <sz val="10"/>
      <color rgb="FF000080"/>
      <name val="Arial"/>
      <family val="0"/>
    </font>
    <font>
      <i/>
      <sz val="10"/>
      <color rgb="FF8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  <font>
      <i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9">
    <xf numFmtId="0" fontId="1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49" fillId="33" borderId="12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center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right" vertical="center"/>
      <protection/>
    </xf>
    <xf numFmtId="4" fontId="53" fillId="0" borderId="0" xfId="0" applyNumberFormat="1" applyFont="1" applyFill="1" applyBorder="1" applyAlignment="1" applyProtection="1">
      <alignment horizontal="righ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16" xfId="0" applyNumberFormat="1" applyFont="1" applyFill="1" applyBorder="1" applyAlignment="1" applyProtection="1">
      <alignment horizontal="right" vertical="center"/>
      <protection/>
    </xf>
    <xf numFmtId="0" fontId="49" fillId="34" borderId="12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4" fontId="49" fillId="0" borderId="14" xfId="0" applyNumberFormat="1" applyFont="1" applyFill="1" applyBorder="1" applyAlignment="1" applyProtection="1">
      <alignment horizontal="right" vertical="center"/>
      <protection/>
    </xf>
    <xf numFmtId="0" fontId="50" fillId="34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4" fontId="49" fillId="0" borderId="17" xfId="0" applyNumberFormat="1" applyFont="1" applyFill="1" applyBorder="1" applyAlignment="1" applyProtection="1">
      <alignment horizontal="right" vertical="center"/>
      <protection/>
    </xf>
    <xf numFmtId="4" fontId="51" fillId="35" borderId="1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49" fillId="33" borderId="12" xfId="0" applyNumberFormat="1" applyFont="1" applyFill="1" applyBorder="1" applyAlignment="1" applyProtection="1">
      <alignment horizontal="left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4" fillId="0" borderId="17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center" vertical="center"/>
      <protection/>
    </xf>
    <xf numFmtId="4" fontId="53" fillId="0" borderId="17" xfId="0" applyNumberFormat="1" applyFont="1" applyFill="1" applyBorder="1" applyAlignment="1" applyProtection="1">
      <alignment horizontal="right" vertical="center"/>
      <protection/>
    </xf>
    <xf numFmtId="4" fontId="55" fillId="0" borderId="16" xfId="0" applyNumberFormat="1" applyFont="1" applyFill="1" applyBorder="1" applyAlignment="1" applyProtection="1">
      <alignment horizontal="right" vertical="center"/>
      <protection/>
    </xf>
    <xf numFmtId="0" fontId="50" fillId="0" borderId="19" xfId="0" applyNumberFormat="1" applyFont="1" applyFill="1" applyBorder="1" applyAlignment="1" applyProtection="1">
      <alignment horizontal="righ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56" fillId="35" borderId="21" xfId="0" applyNumberFormat="1" applyFont="1" applyFill="1" applyBorder="1" applyAlignment="1" applyProtection="1">
      <alignment horizontal="center" vertical="center"/>
      <protection/>
    </xf>
    <xf numFmtId="0" fontId="55" fillId="0" borderId="16" xfId="0" applyNumberFormat="1" applyFont="1" applyFill="1" applyBorder="1" applyAlignment="1" applyProtection="1">
      <alignment horizontal="righ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0" fontId="50" fillId="34" borderId="16" xfId="0" applyNumberFormat="1" applyFont="1" applyFill="1" applyBorder="1" applyAlignment="1" applyProtection="1">
      <alignment horizontal="right" vertical="center"/>
      <protection/>
    </xf>
    <xf numFmtId="0" fontId="50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 wrapText="1"/>
      <protection/>
    </xf>
    <xf numFmtId="4" fontId="50" fillId="0" borderId="23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5" fillId="0" borderId="14" xfId="0" applyNumberFormat="1" applyFont="1" applyFill="1" applyBorder="1" applyAlignment="1" applyProtection="1">
      <alignment horizontal="left" vertical="center"/>
      <protection/>
    </xf>
    <xf numFmtId="4" fontId="49" fillId="0" borderId="16" xfId="0" applyNumberFormat="1" applyFont="1" applyFill="1" applyBorder="1" applyAlignment="1" applyProtection="1">
      <alignment horizontal="righ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0" fillId="0" borderId="25" xfId="0" applyNumberFormat="1" applyFont="1" applyFill="1" applyBorder="1" applyAlignment="1" applyProtection="1">
      <alignment horizontal="left" vertical="center"/>
      <protection/>
    </xf>
    <xf numFmtId="4" fontId="55" fillId="0" borderId="14" xfId="0" applyNumberFormat="1" applyFont="1" applyFill="1" applyBorder="1" applyAlignment="1" applyProtection="1">
      <alignment horizontal="right" vertical="center"/>
      <protection/>
    </xf>
    <xf numFmtId="0" fontId="50" fillId="33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49" fillId="0" borderId="18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0" fillId="33" borderId="16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35" borderId="26" xfId="0" applyNumberFormat="1" applyFont="1" applyFill="1" applyBorder="1" applyAlignment="1" applyProtection="1">
      <alignment horizontal="center" vertical="center"/>
      <protection/>
    </xf>
    <xf numFmtId="0" fontId="50" fillId="0" borderId="27" xfId="0" applyNumberFormat="1" applyFont="1" applyFill="1" applyBorder="1" applyAlignment="1" applyProtection="1">
      <alignment horizontal="center" vertical="center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4" fontId="50" fillId="33" borderId="0" xfId="0" applyNumberFormat="1" applyFont="1" applyFill="1" applyBorder="1" applyAlignment="1" applyProtection="1">
      <alignment horizontal="right" vertical="center"/>
      <protection/>
    </xf>
    <xf numFmtId="4" fontId="50" fillId="34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4" fontId="51" fillId="35" borderId="26" xfId="0" applyNumberFormat="1" applyFont="1" applyFill="1" applyBorder="1" applyAlignment="1" applyProtection="1">
      <alignment horizontal="right" vertical="center"/>
      <protection/>
    </xf>
    <xf numFmtId="0" fontId="50" fillId="0" borderId="23" xfId="0" applyNumberFormat="1" applyFont="1" applyFill="1" applyBorder="1" applyAlignment="1" applyProtection="1">
      <alignment horizontal="right" vertical="center"/>
      <protection/>
    </xf>
    <xf numFmtId="0" fontId="52" fillId="0" borderId="12" xfId="0" applyNumberFormat="1" applyFont="1" applyFill="1" applyBorder="1" applyAlignment="1" applyProtection="1">
      <alignment horizontal="left" vertical="center"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50" fillId="33" borderId="0" xfId="0" applyNumberFormat="1" applyFont="1" applyFill="1" applyBorder="1" applyAlignment="1" applyProtection="1">
      <alignment horizontal="right" vertical="center"/>
      <protection/>
    </xf>
    <xf numFmtId="4" fontId="55" fillId="0" borderId="26" xfId="0" applyNumberFormat="1" applyFont="1" applyFill="1" applyBorder="1" applyAlignment="1" applyProtection="1">
      <alignment horizontal="right" vertical="center"/>
      <protection/>
    </xf>
    <xf numFmtId="4" fontId="55" fillId="0" borderId="18" xfId="0" applyNumberFormat="1" applyFont="1" applyFill="1" applyBorder="1" applyAlignment="1" applyProtection="1">
      <alignment horizontal="right" vertical="center"/>
      <protection/>
    </xf>
    <xf numFmtId="0" fontId="50" fillId="33" borderId="16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4" fontId="50" fillId="34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25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28" xfId="0" applyNumberFormat="1" applyFont="1" applyFill="1" applyBorder="1" applyAlignment="1" applyProtection="1">
      <alignment horizontal="center" vertical="center" wrapText="1"/>
      <protection/>
    </xf>
    <xf numFmtId="0" fontId="50" fillId="34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20" xfId="0" applyNumberFormat="1" applyFont="1" applyFill="1" applyBorder="1" applyAlignment="1" applyProtection="1">
      <alignment horizontal="left" vertical="center" wrapText="1"/>
      <protection/>
    </xf>
    <xf numFmtId="0" fontId="49" fillId="0" borderId="18" xfId="0" applyNumberFormat="1" applyFont="1" applyFill="1" applyBorder="1" applyAlignment="1" applyProtection="1">
      <alignment horizontal="left" vertical="center" wrapText="1"/>
      <protection/>
    </xf>
    <xf numFmtId="0" fontId="50" fillId="0" borderId="24" xfId="0" applyNumberFormat="1" applyFont="1" applyFill="1" applyBorder="1" applyAlignment="1" applyProtection="1">
      <alignment horizontal="center" vertical="center" wrapText="1"/>
      <protection/>
    </xf>
    <xf numFmtId="0" fontId="50" fillId="0" borderId="2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 applyProtection="1">
      <alignment horizontal="left" vertical="center" wrapText="1"/>
      <protection/>
    </xf>
    <xf numFmtId="0" fontId="49" fillId="33" borderId="0" xfId="0" applyNumberFormat="1" applyFont="1" applyFill="1" applyBorder="1" applyAlignment="1" applyProtection="1">
      <alignment horizontal="left" vertical="center" wrapText="1"/>
      <protection/>
    </xf>
    <xf numFmtId="4" fontId="50" fillId="33" borderId="0" xfId="0" applyNumberFormat="1" applyFont="1" applyFill="1" applyBorder="1" applyAlignment="1" applyProtection="1">
      <alignment horizontal="right" vertical="center" wrapText="1"/>
      <protection/>
    </xf>
    <xf numFmtId="0" fontId="50" fillId="33" borderId="16" xfId="0" applyNumberFormat="1" applyFont="1" applyFill="1" applyBorder="1" applyAlignment="1" applyProtection="1">
      <alignment horizontal="right" vertical="center" wrapText="1"/>
      <protection/>
    </xf>
    <xf numFmtId="0" fontId="49" fillId="34" borderId="12" xfId="0" applyNumberFormat="1" applyFont="1" applyFill="1" applyBorder="1" applyAlignment="1" applyProtection="1">
      <alignment horizontal="left" vertical="center" wrapText="1"/>
      <protection/>
    </xf>
    <xf numFmtId="0" fontId="49" fillId="34" borderId="0" xfId="0" applyNumberFormat="1" applyFont="1" applyFill="1" applyBorder="1" applyAlignment="1" applyProtection="1">
      <alignment horizontal="left" vertical="center" wrapText="1"/>
      <protection/>
    </xf>
    <xf numFmtId="0" fontId="50" fillId="34" borderId="16" xfId="0" applyNumberFormat="1" applyFont="1" applyFill="1" applyBorder="1" applyAlignment="1" applyProtection="1">
      <alignment horizontal="right" vertical="center" wrapText="1"/>
      <protection/>
    </xf>
    <xf numFmtId="4" fontId="49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4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52" fillId="0" borderId="12" xfId="0" applyNumberFormat="1" applyFont="1" applyFill="1" applyBorder="1" applyAlignment="1" applyProtection="1">
      <alignment horizontal="left" vertical="center" wrapText="1"/>
      <protection/>
    </xf>
    <xf numFmtId="4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2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49" fillId="0" borderId="29" xfId="0" applyNumberFormat="1" applyFont="1" applyFill="1" applyBorder="1" applyAlignment="1" applyProtection="1">
      <alignment horizontal="left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0" fontId="49" fillId="0" borderId="14" xfId="0" applyNumberFormat="1" applyFont="1" applyFill="1" applyBorder="1" applyAlignment="1" applyProtection="1">
      <alignment horizontal="right" vertical="center" wrapText="1"/>
      <protection/>
    </xf>
    <xf numFmtId="4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wrapText="1"/>
      <protection/>
    </xf>
    <xf numFmtId="0" fontId="1" fillId="0" borderId="17" xfId="0" applyNumberFormat="1" applyFont="1" applyFill="1" applyBorder="1" applyAlignment="1" applyProtection="1">
      <alignment wrapText="1"/>
      <protection/>
    </xf>
    <xf numFmtId="0" fontId="53" fillId="0" borderId="17" xfId="0" applyNumberFormat="1" applyFont="1" applyFill="1" applyBorder="1" applyAlignment="1" applyProtection="1">
      <alignment horizontal="left" vertical="center" wrapText="1"/>
      <protection/>
    </xf>
    <xf numFmtId="0" fontId="54" fillId="0" borderId="17" xfId="0" applyNumberFormat="1" applyFont="1" applyFill="1" applyBorder="1" applyAlignment="1" applyProtection="1">
      <alignment horizontal="left" vertical="center" wrapText="1"/>
      <protection/>
    </xf>
    <xf numFmtId="4" fontId="53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0" xfId="0" applyNumberFormat="1" applyFont="1" applyFill="1" applyBorder="1" applyAlignment="1" applyProtection="1">
      <alignment horizontal="left" vertical="center" wrapText="1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31" xfId="0" applyNumberFormat="1" applyFont="1" applyFill="1" applyBorder="1" applyAlignment="1" applyProtection="1">
      <alignment horizontal="left" vertical="center" wrapText="1"/>
      <protection/>
    </xf>
    <xf numFmtId="0" fontId="50" fillId="0" borderId="31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1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 wrapText="1"/>
      <protection/>
    </xf>
    <xf numFmtId="0" fontId="49" fillId="0" borderId="14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33" xfId="0" applyNumberFormat="1" applyFont="1" applyFill="1" applyBorder="1" applyAlignment="1" applyProtection="1">
      <alignment horizontal="left" vertical="center"/>
      <protection/>
    </xf>
    <xf numFmtId="0" fontId="60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29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26" xfId="0" applyNumberFormat="1" applyFont="1" applyFill="1" applyBorder="1" applyAlignment="1" applyProtection="1">
      <alignment horizontal="left" vertical="center"/>
      <protection/>
    </xf>
    <xf numFmtId="0" fontId="55" fillId="0" borderId="17" xfId="0" applyNumberFormat="1" applyFont="1" applyFill="1" applyBorder="1" applyAlignment="1" applyProtection="1">
      <alignment horizontal="left" vertical="center"/>
      <protection/>
    </xf>
    <xf numFmtId="0" fontId="55" fillId="0" borderId="14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33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1" fillId="35" borderId="34" xfId="0" applyNumberFormat="1" applyFont="1" applyFill="1" applyBorder="1" applyAlignment="1" applyProtection="1">
      <alignment horizontal="left" vertical="center"/>
      <protection/>
    </xf>
    <xf numFmtId="0" fontId="51" fillId="35" borderId="33" xfId="0" applyNumberFormat="1" applyFont="1" applyFill="1" applyBorder="1" applyAlignment="1" applyProtection="1">
      <alignment horizontal="left" vertical="center"/>
      <protection/>
    </xf>
    <xf numFmtId="0" fontId="51" fillId="35" borderId="29" xfId="0" applyNumberFormat="1" applyFont="1" applyFill="1" applyBorder="1" applyAlignment="1" applyProtection="1">
      <alignment horizontal="left" vertical="center"/>
      <protection/>
    </xf>
    <xf numFmtId="0" fontId="51" fillId="35" borderId="17" xfId="0" applyNumberFormat="1" applyFont="1" applyFill="1" applyBorder="1" applyAlignment="1" applyProtection="1">
      <alignment horizontal="left" vertical="center"/>
      <protection/>
    </xf>
    <xf numFmtId="0" fontId="55" fillId="0" borderId="35" xfId="0" applyNumberFormat="1" applyFont="1" applyFill="1" applyBorder="1" applyAlignment="1" applyProtection="1">
      <alignment horizontal="left" vertical="center"/>
      <protection/>
    </xf>
    <xf numFmtId="0" fontId="55" fillId="0" borderId="24" xfId="0" applyNumberFormat="1" applyFont="1" applyFill="1" applyBorder="1" applyAlignment="1" applyProtection="1">
      <alignment horizontal="left" vertical="center"/>
      <protection/>
    </xf>
    <xf numFmtId="0" fontId="55" fillId="0" borderId="13" xfId="0" applyNumberFormat="1" applyFont="1" applyFill="1" applyBorder="1" applyAlignment="1" applyProtection="1">
      <alignment horizontal="left" vertical="center"/>
      <protection/>
    </xf>
    <xf numFmtId="0" fontId="55" fillId="0" borderId="28" xfId="0" applyNumberFormat="1" applyFont="1" applyFill="1" applyBorder="1" applyAlignment="1" applyProtection="1">
      <alignment horizontal="left" vertical="center"/>
      <protection/>
    </xf>
    <xf numFmtId="0" fontId="55" fillId="0" borderId="15" xfId="0" applyNumberFormat="1" applyFont="1" applyFill="1" applyBorder="1" applyAlignment="1" applyProtection="1">
      <alignment horizontal="left" vertical="center"/>
      <protection/>
    </xf>
    <xf numFmtId="0" fontId="55" fillId="0" borderId="36" xfId="0" applyNumberFormat="1" applyFont="1" applyFill="1" applyBorder="1" applyAlignment="1" applyProtection="1">
      <alignment horizontal="left" vertical="center"/>
      <protection/>
    </xf>
    <xf numFmtId="0" fontId="55" fillId="0" borderId="37" xfId="0" applyNumberFormat="1" applyFont="1" applyFill="1" applyBorder="1" applyAlignment="1" applyProtection="1">
      <alignment horizontal="left" vertical="center"/>
      <protection/>
    </xf>
    <xf numFmtId="0" fontId="55" fillId="0" borderId="38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left" vertical="center"/>
      <protection/>
    </xf>
    <xf numFmtId="0" fontId="50" fillId="0" borderId="40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50" fillId="0" borderId="41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23" xfId="0" applyNumberFormat="1" applyFont="1" applyFill="1" applyBorder="1" applyAlignment="1" applyProtection="1">
      <alignment horizontal="left" vertical="center"/>
      <protection/>
    </xf>
    <xf numFmtId="0" fontId="51" fillId="0" borderId="41" xfId="0" applyNumberFormat="1" applyFont="1" applyFill="1" applyBorder="1" applyAlignment="1" applyProtection="1">
      <alignment horizontal="left" vertical="center"/>
      <protection/>
    </xf>
    <xf numFmtId="0" fontId="51" fillId="0" borderId="42" xfId="0" applyNumberFormat="1" applyFont="1" applyFill="1" applyBorder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4" fontId="51" fillId="0" borderId="42" xfId="0" applyNumberFormat="1" applyFont="1" applyFill="1" applyBorder="1" applyAlignment="1" applyProtection="1">
      <alignment horizontal="right" vertical="center"/>
      <protection/>
    </xf>
    <xf numFmtId="0" fontId="51" fillId="0" borderId="42" xfId="0" applyNumberFormat="1" applyFont="1" applyFill="1" applyBorder="1" applyAlignment="1" applyProtection="1">
      <alignment horizontal="right" vertical="center"/>
      <protection/>
    </xf>
    <xf numFmtId="0" fontId="51" fillId="0" borderId="23" xfId="0" applyNumberFormat="1" applyFont="1" applyFill="1" applyBorder="1" applyAlignment="1" applyProtection="1">
      <alignment horizontal="righ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left" vertical="center"/>
      <protection/>
    </xf>
    <xf numFmtId="0" fontId="50" fillId="0" borderId="39" xfId="0" applyNumberFormat="1" applyFont="1" applyFill="1" applyBorder="1" applyAlignment="1" applyProtection="1">
      <alignment horizontal="center" vertical="center"/>
      <protection/>
    </xf>
    <xf numFmtId="0" fontId="50" fillId="0" borderId="40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32" xfId="0" applyNumberFormat="1" applyFont="1" applyFill="1" applyBorder="1" applyAlignment="1" applyProtection="1">
      <alignment horizontal="left" vertical="center" wrapText="1"/>
      <protection/>
    </xf>
    <xf numFmtId="0" fontId="50" fillId="0" borderId="28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24" xfId="0" applyNumberFormat="1" applyFont="1" applyFill="1" applyBorder="1" applyAlignment="1" applyProtection="1">
      <alignment horizontal="left" vertical="center" wrapText="1"/>
      <protection/>
    </xf>
    <xf numFmtId="0" fontId="50" fillId="0" borderId="18" xfId="0" applyNumberFormat="1" applyFont="1" applyFill="1" applyBorder="1" applyAlignment="1" applyProtection="1">
      <alignment horizontal="left" vertical="center" wrapText="1"/>
      <protection/>
    </xf>
    <xf numFmtId="0" fontId="50" fillId="0" borderId="39" xfId="0" applyNumberFormat="1" applyFont="1" applyFill="1" applyBorder="1" applyAlignment="1" applyProtection="1">
      <alignment horizontal="center" vertical="center" wrapText="1"/>
      <protection/>
    </xf>
    <xf numFmtId="0" fontId="50" fillId="0" borderId="40" xfId="0" applyNumberFormat="1" applyFont="1" applyFill="1" applyBorder="1" applyAlignment="1" applyProtection="1">
      <alignment horizontal="center" vertical="center" wrapText="1"/>
      <protection/>
    </xf>
    <xf numFmtId="0" fontId="50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horizontal="left" vertical="center" wrapText="1"/>
      <protection/>
    </xf>
    <xf numFmtId="0" fontId="50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16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17" xfId="0" applyNumberFormat="1" applyFont="1" applyFill="1" applyBorder="1" applyAlignment="1" applyProtection="1">
      <alignment horizontal="left" vertical="center" wrapText="1"/>
      <protection/>
    </xf>
    <xf numFmtId="0" fontId="50" fillId="0" borderId="28" xfId="0" applyNumberFormat="1" applyFont="1" applyFill="1" applyBorder="1" applyAlignment="1" applyProtection="1">
      <alignment horizontal="left" vertical="center"/>
      <protection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left" vertical="center"/>
      <protection/>
    </xf>
    <xf numFmtId="0" fontId="50" fillId="33" borderId="0" xfId="0" applyNumberFormat="1" applyFont="1" applyFill="1" applyBorder="1" applyAlignment="1" applyProtection="1">
      <alignment horizontal="left" vertical="center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6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4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0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16" xfId="0" applyNumberFormat="1" applyFont="1" applyFill="1" applyBorder="1" applyAlignment="1" applyProtection="1">
      <alignment horizontal="left" vertical="center"/>
      <protection locked="0"/>
    </xf>
    <xf numFmtId="0" fontId="49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7" xfId="0" applyNumberFormat="1" applyFont="1" applyFill="1" applyBorder="1" applyAlignment="1" applyProtection="1">
      <alignment horizontal="left" vertical="center"/>
      <protection locked="0"/>
    </xf>
    <xf numFmtId="0" fontId="4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4" xfId="0" applyNumberFormat="1" applyFont="1" applyFill="1" applyBorder="1" applyAlignment="1" applyProtection="1">
      <alignment horizontal="left" vertical="center"/>
      <protection locked="0"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3">
      <selection activeCell="I10" activeCellId="1" sqref="I6:I7 I10:I11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25" t="s">
        <v>207</v>
      </c>
      <c r="B1" s="126"/>
      <c r="C1" s="126"/>
      <c r="D1" s="126"/>
      <c r="E1" s="126"/>
      <c r="F1" s="126"/>
      <c r="G1" s="126"/>
      <c r="H1" s="126"/>
      <c r="I1" s="126"/>
    </row>
    <row r="2" spans="1:9" ht="15" customHeight="1">
      <c r="A2" s="127" t="s">
        <v>68</v>
      </c>
      <c r="B2" s="128"/>
      <c r="C2" s="136" t="str">
        <f>'Stavební rozpočet'!C2</f>
        <v>Kaple sv.Cyrila a Metoděje</v>
      </c>
      <c r="D2" s="137"/>
      <c r="E2" s="134" t="s">
        <v>707</v>
      </c>
      <c r="F2" s="134" t="str">
        <f>'Stavební rozpočet'!I2</f>
        <v>Statutární město Opava</v>
      </c>
      <c r="G2" s="128"/>
      <c r="H2" s="134" t="s">
        <v>543</v>
      </c>
      <c r="I2" s="139" t="s">
        <v>577</v>
      </c>
    </row>
    <row r="3" spans="1:9" ht="15" customHeight="1">
      <c r="A3" s="129"/>
      <c r="B3" s="130"/>
      <c r="C3" s="138"/>
      <c r="D3" s="138"/>
      <c r="E3" s="130"/>
      <c r="F3" s="130"/>
      <c r="G3" s="130"/>
      <c r="H3" s="130"/>
      <c r="I3" s="140"/>
    </row>
    <row r="4" spans="1:9" ht="15" customHeight="1">
      <c r="A4" s="131" t="s">
        <v>466</v>
      </c>
      <c r="B4" s="130"/>
      <c r="C4" s="135" t="str">
        <f>'Stavební rozpočet'!C4</f>
        <v>Církevní stavba</v>
      </c>
      <c r="D4" s="130"/>
      <c r="E4" s="135" t="s">
        <v>575</v>
      </c>
      <c r="F4" s="135" t="str">
        <f>'Stavební rozpočet'!I4</f>
        <v>Radek Vašenda, DiS</v>
      </c>
      <c r="G4" s="130"/>
      <c r="H4" s="135" t="s">
        <v>543</v>
      </c>
      <c r="I4" s="140" t="s">
        <v>926</v>
      </c>
    </row>
    <row r="5" spans="1:9" ht="15" customHeight="1">
      <c r="A5" s="129"/>
      <c r="B5" s="130"/>
      <c r="C5" s="130"/>
      <c r="D5" s="130"/>
      <c r="E5" s="130"/>
      <c r="F5" s="130"/>
      <c r="G5" s="130"/>
      <c r="H5" s="130"/>
      <c r="I5" s="140"/>
    </row>
    <row r="6" spans="1:9" ht="15" customHeight="1">
      <c r="A6" s="131" t="s">
        <v>85</v>
      </c>
      <c r="B6" s="130"/>
      <c r="C6" s="135" t="str">
        <f>'Stavební rozpočet'!C6</f>
        <v>Milostovice</v>
      </c>
      <c r="D6" s="130"/>
      <c r="E6" s="135" t="s">
        <v>730</v>
      </c>
      <c r="F6" s="222" t="str">
        <f>'Stavební rozpočet'!I6</f>
        <v>Dle výběru investora</v>
      </c>
      <c r="G6" s="223"/>
      <c r="H6" s="135" t="s">
        <v>543</v>
      </c>
      <c r="I6" s="224" t="s">
        <v>577</v>
      </c>
    </row>
    <row r="7" spans="1:9" ht="15" customHeight="1">
      <c r="A7" s="129"/>
      <c r="B7" s="130"/>
      <c r="C7" s="130"/>
      <c r="D7" s="130"/>
      <c r="E7" s="130"/>
      <c r="F7" s="223"/>
      <c r="G7" s="223"/>
      <c r="H7" s="130"/>
      <c r="I7" s="224"/>
    </row>
    <row r="8" spans="1:9" ht="15" customHeight="1">
      <c r="A8" s="131" t="s">
        <v>745</v>
      </c>
      <c r="B8" s="130"/>
      <c r="C8" s="135" t="str">
        <f>'Stavební rozpočet'!G4</f>
        <v> </v>
      </c>
      <c r="D8" s="130"/>
      <c r="E8" s="135" t="s">
        <v>300</v>
      </c>
      <c r="F8" s="222" t="str">
        <f>'Stavební rozpočet'!G6</f>
        <v> </v>
      </c>
      <c r="G8" s="223"/>
      <c r="H8" s="130" t="s">
        <v>841</v>
      </c>
      <c r="I8" s="141">
        <v>174</v>
      </c>
    </row>
    <row r="9" spans="1:9" ht="15" customHeight="1">
      <c r="A9" s="129"/>
      <c r="B9" s="130"/>
      <c r="C9" s="130"/>
      <c r="D9" s="130"/>
      <c r="E9" s="130"/>
      <c r="F9" s="223"/>
      <c r="G9" s="223"/>
      <c r="H9" s="130"/>
      <c r="I9" s="140"/>
    </row>
    <row r="10" spans="1:9" ht="15" customHeight="1">
      <c r="A10" s="131" t="s">
        <v>434</v>
      </c>
      <c r="B10" s="130"/>
      <c r="C10" s="135" t="str">
        <f>'Stavební rozpočet'!C8</f>
        <v>8014712</v>
      </c>
      <c r="D10" s="130"/>
      <c r="E10" s="135" t="s">
        <v>559</v>
      </c>
      <c r="F10" s="222" t="str">
        <f>'Stavební rozpočet'!I8</f>
        <v>Ing.Lucie Szöke</v>
      </c>
      <c r="G10" s="223"/>
      <c r="H10" s="130" t="s">
        <v>814</v>
      </c>
      <c r="I10" s="227" t="str">
        <f>'Stavební rozpočet'!G8</f>
        <v>01.12.2023</v>
      </c>
    </row>
    <row r="11" spans="1:9" ht="15" customHeight="1">
      <c r="A11" s="132"/>
      <c r="B11" s="133"/>
      <c r="C11" s="133"/>
      <c r="D11" s="133"/>
      <c r="E11" s="133"/>
      <c r="F11" s="226"/>
      <c r="G11" s="226"/>
      <c r="H11" s="133"/>
      <c r="I11" s="228"/>
    </row>
    <row r="12" spans="1:9" ht="22.5" customHeight="1">
      <c r="A12" s="144" t="s">
        <v>155</v>
      </c>
      <c r="B12" s="144"/>
      <c r="C12" s="144"/>
      <c r="D12" s="144"/>
      <c r="E12" s="144"/>
      <c r="F12" s="144"/>
      <c r="G12" s="144"/>
      <c r="H12" s="144"/>
      <c r="I12" s="144"/>
    </row>
    <row r="13" spans="1:9" ht="26.25" customHeight="1">
      <c r="A13" s="39" t="s">
        <v>751</v>
      </c>
      <c r="B13" s="145" t="s">
        <v>119</v>
      </c>
      <c r="C13" s="146"/>
      <c r="D13" s="63" t="s">
        <v>163</v>
      </c>
      <c r="E13" s="145" t="s">
        <v>333</v>
      </c>
      <c r="F13" s="146"/>
      <c r="G13" s="63" t="s">
        <v>533</v>
      </c>
      <c r="H13" s="145" t="s">
        <v>167</v>
      </c>
      <c r="I13" s="146"/>
    </row>
    <row r="14" spans="1:9" ht="15" customHeight="1">
      <c r="A14" s="41" t="s">
        <v>342</v>
      </c>
      <c r="B14" s="49" t="s">
        <v>232</v>
      </c>
      <c r="C14" s="55">
        <f>SUM('Stavební rozpočet (1_ST)'!AB12:AB483)+SUM('Stavební rozpočet (2_HR)'!AB12:AB483)+SUM('Stavební rozpočet (3_VRN)'!AB12:AB483)</f>
        <v>0</v>
      </c>
      <c r="D14" s="153" t="s">
        <v>598</v>
      </c>
      <c r="E14" s="154"/>
      <c r="F14" s="55">
        <f>VORN!I15</f>
        <v>0</v>
      </c>
      <c r="G14" s="153" t="s">
        <v>98</v>
      </c>
      <c r="H14" s="154"/>
      <c r="I14" s="57">
        <f>VORN!I21</f>
        <v>0</v>
      </c>
    </row>
    <row r="15" spans="1:9" ht="15" customHeight="1">
      <c r="A15" s="3" t="s">
        <v>577</v>
      </c>
      <c r="B15" s="49" t="s">
        <v>171</v>
      </c>
      <c r="C15" s="55">
        <f>SUM('Stavební rozpočet (1_ST)'!AC12:AC483)+SUM('Stavební rozpočet (2_HR)'!AC12:AC483)+SUM('Stavební rozpočet (3_VRN)'!AC12:AC483)</f>
        <v>0</v>
      </c>
      <c r="D15" s="153" t="s">
        <v>94</v>
      </c>
      <c r="E15" s="154"/>
      <c r="F15" s="55">
        <f>VORN!I16</f>
        <v>0</v>
      </c>
      <c r="G15" s="153" t="s">
        <v>670</v>
      </c>
      <c r="H15" s="154"/>
      <c r="I15" s="57">
        <f>VORN!I22</f>
        <v>0</v>
      </c>
    </row>
    <row r="16" spans="1:9" ht="15" customHeight="1">
      <c r="A16" s="41" t="s">
        <v>92</v>
      </c>
      <c r="B16" s="49" t="s">
        <v>232</v>
      </c>
      <c r="C16" s="55">
        <f>SUM('Stavební rozpočet (1_ST)'!AD12:AD483)+SUM('Stavební rozpočet (2_HR)'!AD12:AD483)+SUM('Stavební rozpočet (3_VRN)'!AD12:AD483)</f>
        <v>0</v>
      </c>
      <c r="D16" s="153" t="s">
        <v>616</v>
      </c>
      <c r="E16" s="154"/>
      <c r="F16" s="55">
        <f>VORN!I17</f>
        <v>0</v>
      </c>
      <c r="G16" s="153" t="s">
        <v>802</v>
      </c>
      <c r="H16" s="154"/>
      <c r="I16" s="57">
        <f>VORN!I23</f>
        <v>0</v>
      </c>
    </row>
    <row r="17" spans="1:9" ht="15" customHeight="1">
      <c r="A17" s="3" t="s">
        <v>577</v>
      </c>
      <c r="B17" s="49" t="s">
        <v>171</v>
      </c>
      <c r="C17" s="55">
        <f>SUM('Stavební rozpočet (1_ST)'!AE12:AE483)+SUM('Stavební rozpočet (2_HR)'!AE12:AE483)+SUM('Stavební rozpočet (3_VRN)'!AE12:AE483)</f>
        <v>0</v>
      </c>
      <c r="D17" s="153" t="s">
        <v>577</v>
      </c>
      <c r="E17" s="154"/>
      <c r="F17" s="57" t="s">
        <v>577</v>
      </c>
      <c r="G17" s="153" t="s">
        <v>460</v>
      </c>
      <c r="H17" s="154"/>
      <c r="I17" s="57">
        <f>VORN!I24</f>
        <v>0</v>
      </c>
    </row>
    <row r="18" spans="1:9" ht="15" customHeight="1">
      <c r="A18" s="41" t="s">
        <v>285</v>
      </c>
      <c r="B18" s="49" t="s">
        <v>232</v>
      </c>
      <c r="C18" s="55">
        <f>SUM('Stavební rozpočet (1_ST)'!AF12:AF483)+SUM('Stavební rozpočet (2_HR)'!AF12:AF483)+SUM('Stavební rozpočet (3_VRN)'!AF12:AF483)</f>
        <v>0</v>
      </c>
      <c r="D18" s="153" t="s">
        <v>577</v>
      </c>
      <c r="E18" s="154"/>
      <c r="F18" s="57" t="s">
        <v>577</v>
      </c>
      <c r="G18" s="153" t="s">
        <v>546</v>
      </c>
      <c r="H18" s="154"/>
      <c r="I18" s="57">
        <f>VORN!I25</f>
        <v>0</v>
      </c>
    </row>
    <row r="19" spans="1:9" ht="15" customHeight="1">
      <c r="A19" s="3" t="s">
        <v>577</v>
      </c>
      <c r="B19" s="49" t="s">
        <v>171</v>
      </c>
      <c r="C19" s="55">
        <f>SUM('Stavební rozpočet (1_ST)'!AG12:AG483)+SUM('Stavební rozpočet (2_HR)'!AG12:AG483)+SUM('Stavební rozpočet (3_VRN)'!AG12:AG483)</f>
        <v>0</v>
      </c>
      <c r="D19" s="153" t="s">
        <v>577</v>
      </c>
      <c r="E19" s="154"/>
      <c r="F19" s="57" t="s">
        <v>577</v>
      </c>
      <c r="G19" s="153" t="s">
        <v>825</v>
      </c>
      <c r="H19" s="154"/>
      <c r="I19" s="57">
        <f>VORN!I26</f>
        <v>0</v>
      </c>
    </row>
    <row r="20" spans="1:9" ht="15" customHeight="1">
      <c r="A20" s="147" t="s">
        <v>69</v>
      </c>
      <c r="B20" s="148"/>
      <c r="C20" s="55">
        <f>SUM('Stavební rozpočet (1_ST)'!AH12:AH483)+SUM('Stavební rozpočet (2_HR)'!AH12:AH483)+SUM('Stavební rozpočet (3_VRN)'!AH12:AH483)</f>
        <v>0</v>
      </c>
      <c r="D20" s="153" t="s">
        <v>577</v>
      </c>
      <c r="E20" s="154"/>
      <c r="F20" s="57" t="s">
        <v>577</v>
      </c>
      <c r="G20" s="153" t="s">
        <v>577</v>
      </c>
      <c r="H20" s="154"/>
      <c r="I20" s="57" t="s">
        <v>577</v>
      </c>
    </row>
    <row r="21" spans="1:9" ht="15" customHeight="1">
      <c r="A21" s="149" t="s">
        <v>824</v>
      </c>
      <c r="B21" s="150"/>
      <c r="C21" s="36">
        <f>SUM('Stavební rozpočet (1_ST)'!Z12:Z483)+SUM('Stavební rozpočet (2_HR)'!Z12:Z483)+SUM('Stavební rozpočet (3_VRN)'!Z12:Z483)</f>
        <v>0</v>
      </c>
      <c r="D21" s="155" t="s">
        <v>577</v>
      </c>
      <c r="E21" s="156"/>
      <c r="F21" s="40" t="s">
        <v>577</v>
      </c>
      <c r="G21" s="155" t="s">
        <v>577</v>
      </c>
      <c r="H21" s="156"/>
      <c r="I21" s="40" t="s">
        <v>577</v>
      </c>
    </row>
    <row r="22" spans="1:9" ht="16.5" customHeight="1">
      <c r="A22" s="151" t="s">
        <v>179</v>
      </c>
      <c r="B22" s="152"/>
      <c r="C22" s="77">
        <f>SUM(C14:C21)</f>
        <v>0</v>
      </c>
      <c r="D22" s="157" t="s">
        <v>451</v>
      </c>
      <c r="E22" s="152"/>
      <c r="F22" s="77">
        <f>SUM(F14:F21)</f>
        <v>0</v>
      </c>
      <c r="G22" s="157" t="s">
        <v>842</v>
      </c>
      <c r="H22" s="152"/>
      <c r="I22" s="77">
        <f>SUM(I14:I21)</f>
        <v>0</v>
      </c>
    </row>
    <row r="23" spans="4:9" ht="15" customHeight="1">
      <c r="D23" s="147" t="s">
        <v>674</v>
      </c>
      <c r="E23" s="148"/>
      <c r="F23" s="78">
        <v>0</v>
      </c>
      <c r="G23" s="158" t="s">
        <v>55</v>
      </c>
      <c r="H23" s="148"/>
      <c r="I23" s="55">
        <v>0</v>
      </c>
    </row>
    <row r="24" spans="7:9" ht="15" customHeight="1">
      <c r="G24" s="147" t="s">
        <v>508</v>
      </c>
      <c r="H24" s="148"/>
      <c r="I24" s="36">
        <f>'Stavební rozpočet (3_VRN)'!J12</f>
        <v>300000</v>
      </c>
    </row>
    <row r="25" spans="7:9" ht="15" customHeight="1">
      <c r="G25" s="147" t="s">
        <v>289</v>
      </c>
      <c r="H25" s="148"/>
      <c r="I25" s="77">
        <f>I24</f>
        <v>300000</v>
      </c>
    </row>
    <row r="27" spans="1:3" ht="15" customHeight="1">
      <c r="A27" s="159" t="s">
        <v>372</v>
      </c>
      <c r="B27" s="160"/>
      <c r="C27" s="71">
        <f>SUM('Stavební rozpočet (1_ST)'!AJ12:AJ483)+SUM('Stavební rozpočet (2_HR)'!AJ12:AJ483)+SUM('Stavební rozpočet (3_VRN)'!AJ12:AJ483)</f>
        <v>0</v>
      </c>
    </row>
    <row r="28" spans="1:9" ht="15" customHeight="1">
      <c r="A28" s="161" t="s">
        <v>701</v>
      </c>
      <c r="B28" s="162"/>
      <c r="C28" s="27">
        <f>SUM('Stavební rozpočet (1_ST)'!AK12:AK483)+SUM('Stavební rozpočet (2_HR)'!AK12:AK483)+SUM('Stavební rozpočet (3_VRN)'!AK12:AK483)</f>
        <v>0</v>
      </c>
      <c r="D28" s="160" t="s">
        <v>808</v>
      </c>
      <c r="E28" s="160"/>
      <c r="F28" s="71">
        <f>ROUND(C28*(12/100),2)</f>
        <v>0</v>
      </c>
      <c r="G28" s="160" t="s">
        <v>134</v>
      </c>
      <c r="H28" s="160"/>
      <c r="I28" s="71">
        <f>SUM(C27:C29)</f>
        <v>300000</v>
      </c>
    </row>
    <row r="29" spans="1:9" ht="15" customHeight="1">
      <c r="A29" s="161" t="s">
        <v>49</v>
      </c>
      <c r="B29" s="162"/>
      <c r="C29" s="27">
        <f>SUM('Stavební rozpočet (1_ST)'!AL12:AL483)+SUM('Stavební rozpočet (2_HR)'!AL12:AL483)+SUM('Stavební rozpočet (3_VRN)'!AL12:AL483)</f>
        <v>300000</v>
      </c>
      <c r="D29" s="162" t="s">
        <v>630</v>
      </c>
      <c r="E29" s="162"/>
      <c r="F29" s="27">
        <f>ROUND(C29*(21/100),2)</f>
        <v>63000</v>
      </c>
      <c r="G29" s="162" t="s">
        <v>369</v>
      </c>
      <c r="H29" s="162"/>
      <c r="I29" s="27">
        <f>SUM(F28:F29)+I28</f>
        <v>363000</v>
      </c>
    </row>
    <row r="31" spans="1:9" ht="15" customHeight="1">
      <c r="A31" s="169" t="s">
        <v>13</v>
      </c>
      <c r="B31" s="166"/>
      <c r="C31" s="167"/>
      <c r="D31" s="166" t="s">
        <v>790</v>
      </c>
      <c r="E31" s="166"/>
      <c r="F31" s="167"/>
      <c r="G31" s="166" t="s">
        <v>572</v>
      </c>
      <c r="H31" s="166"/>
      <c r="I31" s="167"/>
    </row>
    <row r="32" spans="1:9" ht="15" customHeight="1">
      <c r="A32" s="170" t="s">
        <v>577</v>
      </c>
      <c r="B32" s="155"/>
      <c r="C32" s="168"/>
      <c r="D32" s="155" t="s">
        <v>577</v>
      </c>
      <c r="E32" s="155"/>
      <c r="F32" s="168"/>
      <c r="G32" s="155" t="s">
        <v>577</v>
      </c>
      <c r="H32" s="155"/>
      <c r="I32" s="168"/>
    </row>
    <row r="33" spans="1:9" ht="15" customHeight="1">
      <c r="A33" s="170" t="s">
        <v>577</v>
      </c>
      <c r="B33" s="155"/>
      <c r="C33" s="168"/>
      <c r="D33" s="155" t="s">
        <v>577</v>
      </c>
      <c r="E33" s="155"/>
      <c r="F33" s="168"/>
      <c r="G33" s="155" t="s">
        <v>577</v>
      </c>
      <c r="H33" s="155"/>
      <c r="I33" s="168"/>
    </row>
    <row r="34" spans="1:9" ht="15" customHeight="1">
      <c r="A34" s="170" t="s">
        <v>577</v>
      </c>
      <c r="B34" s="155"/>
      <c r="C34" s="168"/>
      <c r="D34" s="155" t="s">
        <v>577</v>
      </c>
      <c r="E34" s="155"/>
      <c r="F34" s="168"/>
      <c r="G34" s="155" t="s">
        <v>577</v>
      </c>
      <c r="H34" s="155"/>
      <c r="I34" s="168"/>
    </row>
    <row r="35" spans="1:9" ht="15" customHeight="1">
      <c r="A35" s="163" t="s">
        <v>175</v>
      </c>
      <c r="B35" s="164"/>
      <c r="C35" s="165"/>
      <c r="D35" s="164" t="s">
        <v>175</v>
      </c>
      <c r="E35" s="164"/>
      <c r="F35" s="165"/>
      <c r="G35" s="164" t="s">
        <v>175</v>
      </c>
      <c r="H35" s="164"/>
      <c r="I35" s="165"/>
    </row>
    <row r="36" ht="15" customHeight="1">
      <c r="A36" s="60" t="s">
        <v>83</v>
      </c>
    </row>
    <row r="37" spans="1:9" ht="40.5" customHeight="1">
      <c r="A37" s="135" t="s">
        <v>883</v>
      </c>
      <c r="B37" s="130"/>
      <c r="C37" s="130"/>
      <c r="D37" s="130"/>
      <c r="E37" s="130"/>
      <c r="F37" s="130"/>
      <c r="G37" s="130"/>
      <c r="H37" s="130"/>
      <c r="I37" s="130"/>
    </row>
  </sheetData>
  <sheetProtection password="C6FC" sheet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A45" sqref="A45:E4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25" t="s">
        <v>139</v>
      </c>
      <c r="B1" s="126"/>
      <c r="C1" s="126"/>
      <c r="D1" s="126"/>
      <c r="E1" s="126"/>
      <c r="F1" s="126"/>
      <c r="G1" s="126"/>
      <c r="H1" s="126"/>
      <c r="I1" s="126"/>
    </row>
    <row r="2" spans="1:9" ht="15" customHeight="1">
      <c r="A2" s="127" t="s">
        <v>68</v>
      </c>
      <c r="B2" s="128"/>
      <c r="C2" s="136" t="str">
        <f>'Stavební rozpočet'!C2</f>
        <v>Kaple sv.Cyrila a Metoděje</v>
      </c>
      <c r="D2" s="137"/>
      <c r="E2" s="134" t="s">
        <v>707</v>
      </c>
      <c r="F2" s="134" t="str">
        <f>'Stavební rozpočet'!I2</f>
        <v>Statutární město Opava</v>
      </c>
      <c r="G2" s="128"/>
      <c r="H2" s="134" t="s">
        <v>543</v>
      </c>
      <c r="I2" s="139" t="s">
        <v>577</v>
      </c>
    </row>
    <row r="3" spans="1:9" ht="15" customHeight="1">
      <c r="A3" s="129"/>
      <c r="B3" s="130"/>
      <c r="C3" s="138"/>
      <c r="D3" s="138"/>
      <c r="E3" s="130"/>
      <c r="F3" s="130"/>
      <c r="G3" s="130"/>
      <c r="H3" s="130"/>
      <c r="I3" s="140"/>
    </row>
    <row r="4" spans="1:9" ht="15" customHeight="1">
      <c r="A4" s="131" t="s">
        <v>466</v>
      </c>
      <c r="B4" s="130"/>
      <c r="C4" s="135" t="str">
        <f>'Stavební rozpočet'!C4</f>
        <v>Církevní stavba</v>
      </c>
      <c r="D4" s="130"/>
      <c r="E4" s="135" t="s">
        <v>575</v>
      </c>
      <c r="F4" s="135" t="str">
        <f>'Stavební rozpočet'!I4</f>
        <v>Radek Vašenda, DiS</v>
      </c>
      <c r="G4" s="130"/>
      <c r="H4" s="135" t="s">
        <v>543</v>
      </c>
      <c r="I4" s="140" t="s">
        <v>926</v>
      </c>
    </row>
    <row r="5" spans="1:9" ht="15" customHeight="1">
      <c r="A5" s="129"/>
      <c r="B5" s="130"/>
      <c r="C5" s="130"/>
      <c r="D5" s="130"/>
      <c r="E5" s="130"/>
      <c r="F5" s="130"/>
      <c r="G5" s="130"/>
      <c r="H5" s="130"/>
      <c r="I5" s="140"/>
    </row>
    <row r="6" spans="1:9" ht="15" customHeight="1">
      <c r="A6" s="131" t="s">
        <v>85</v>
      </c>
      <c r="B6" s="130"/>
      <c r="C6" s="135" t="str">
        <f>'Stavební rozpočet'!C6</f>
        <v>Milostovice</v>
      </c>
      <c r="D6" s="130"/>
      <c r="E6" s="135" t="s">
        <v>730</v>
      </c>
      <c r="F6" s="135" t="str">
        <f>'Stavební rozpočet'!I6</f>
        <v>Dle výběru investora</v>
      </c>
      <c r="G6" s="130"/>
      <c r="H6" s="135" t="s">
        <v>543</v>
      </c>
      <c r="I6" s="140" t="s">
        <v>577</v>
      </c>
    </row>
    <row r="7" spans="1:9" ht="15" customHeight="1">
      <c r="A7" s="129"/>
      <c r="B7" s="130"/>
      <c r="C7" s="130"/>
      <c r="D7" s="130"/>
      <c r="E7" s="130"/>
      <c r="F7" s="130"/>
      <c r="G7" s="130"/>
      <c r="H7" s="130"/>
      <c r="I7" s="140"/>
    </row>
    <row r="8" spans="1:9" ht="15" customHeight="1">
      <c r="A8" s="131" t="s">
        <v>745</v>
      </c>
      <c r="B8" s="130"/>
      <c r="C8" s="135" t="str">
        <f>'Stavební rozpočet'!G4</f>
        <v> </v>
      </c>
      <c r="D8" s="130"/>
      <c r="E8" s="135" t="s">
        <v>300</v>
      </c>
      <c r="F8" s="135" t="str">
        <f>'Stavební rozpočet'!G6</f>
        <v> </v>
      </c>
      <c r="G8" s="130"/>
      <c r="H8" s="130" t="s">
        <v>841</v>
      </c>
      <c r="I8" s="141">
        <v>174</v>
      </c>
    </row>
    <row r="9" spans="1:9" ht="15" customHeight="1">
      <c r="A9" s="129"/>
      <c r="B9" s="130"/>
      <c r="C9" s="130"/>
      <c r="D9" s="130"/>
      <c r="E9" s="130"/>
      <c r="F9" s="130"/>
      <c r="G9" s="130"/>
      <c r="H9" s="130"/>
      <c r="I9" s="140"/>
    </row>
    <row r="10" spans="1:9" ht="15" customHeight="1">
      <c r="A10" s="131" t="s">
        <v>434</v>
      </c>
      <c r="B10" s="130"/>
      <c r="C10" s="135" t="str">
        <f>'Stavební rozpočet'!C8</f>
        <v>8014712</v>
      </c>
      <c r="D10" s="130"/>
      <c r="E10" s="135" t="s">
        <v>559</v>
      </c>
      <c r="F10" s="135" t="str">
        <f>'Stavební rozpočet'!I8</f>
        <v>Ing.Lucie Szöke</v>
      </c>
      <c r="G10" s="130"/>
      <c r="H10" s="130" t="s">
        <v>814</v>
      </c>
      <c r="I10" s="142" t="str">
        <f>'Stavební rozpočet'!G8</f>
        <v>01.12.2023</v>
      </c>
    </row>
    <row r="11" spans="1:9" ht="15" customHeight="1">
      <c r="A11" s="132"/>
      <c r="B11" s="133"/>
      <c r="C11" s="133"/>
      <c r="D11" s="133"/>
      <c r="E11" s="133"/>
      <c r="F11" s="133"/>
      <c r="G11" s="133"/>
      <c r="H11" s="133"/>
      <c r="I11" s="143"/>
    </row>
    <row r="13" spans="1:5" ht="15.75" customHeight="1">
      <c r="A13" s="171" t="s">
        <v>344</v>
      </c>
      <c r="B13" s="171"/>
      <c r="C13" s="171"/>
      <c r="D13" s="171"/>
      <c r="E13" s="171"/>
    </row>
    <row r="14" spans="1:9" ht="15" customHeight="1">
      <c r="A14" s="172" t="s">
        <v>923</v>
      </c>
      <c r="B14" s="173"/>
      <c r="C14" s="173"/>
      <c r="D14" s="173"/>
      <c r="E14" s="174"/>
      <c r="F14" s="37" t="s">
        <v>858</v>
      </c>
      <c r="G14" s="37" t="s">
        <v>732</v>
      </c>
      <c r="H14" s="37" t="s">
        <v>222</v>
      </c>
      <c r="I14" s="37" t="s">
        <v>858</v>
      </c>
    </row>
    <row r="15" spans="1:9" ht="15" customHeight="1">
      <c r="A15" s="132" t="s">
        <v>598</v>
      </c>
      <c r="B15" s="133"/>
      <c r="C15" s="133"/>
      <c r="D15" s="133"/>
      <c r="E15" s="143"/>
      <c r="F15" s="21">
        <v>0</v>
      </c>
      <c r="G15" s="8" t="s">
        <v>577</v>
      </c>
      <c r="H15" s="8" t="s">
        <v>577</v>
      </c>
      <c r="I15" s="21">
        <f>F15</f>
        <v>0</v>
      </c>
    </row>
    <row r="16" spans="1:9" ht="15" customHeight="1">
      <c r="A16" s="132" t="s">
        <v>94</v>
      </c>
      <c r="B16" s="133"/>
      <c r="C16" s="133"/>
      <c r="D16" s="133"/>
      <c r="E16" s="143"/>
      <c r="F16" s="21">
        <v>0</v>
      </c>
      <c r="G16" s="8" t="s">
        <v>577</v>
      </c>
      <c r="H16" s="8" t="s">
        <v>577</v>
      </c>
      <c r="I16" s="21">
        <f>F16</f>
        <v>0</v>
      </c>
    </row>
    <row r="17" spans="1:9" ht="15" customHeight="1">
      <c r="A17" s="129" t="s">
        <v>616</v>
      </c>
      <c r="B17" s="130"/>
      <c r="C17" s="130"/>
      <c r="D17" s="130"/>
      <c r="E17" s="140"/>
      <c r="F17" s="50">
        <v>0</v>
      </c>
      <c r="G17" s="31" t="s">
        <v>577</v>
      </c>
      <c r="H17" s="31" t="s">
        <v>577</v>
      </c>
      <c r="I17" s="50">
        <f>F17</f>
        <v>0</v>
      </c>
    </row>
    <row r="18" spans="1:9" ht="15" customHeight="1">
      <c r="A18" s="175" t="s">
        <v>891</v>
      </c>
      <c r="B18" s="176"/>
      <c r="C18" s="176"/>
      <c r="D18" s="176"/>
      <c r="E18" s="177"/>
      <c r="F18" s="43" t="s">
        <v>577</v>
      </c>
      <c r="G18" s="72" t="s">
        <v>577</v>
      </c>
      <c r="H18" s="72" t="s">
        <v>577</v>
      </c>
      <c r="I18" s="47">
        <f>SUM(I15:I17)</f>
        <v>0</v>
      </c>
    </row>
    <row r="20" spans="1:9" ht="15" customHeight="1">
      <c r="A20" s="172" t="s">
        <v>167</v>
      </c>
      <c r="B20" s="173"/>
      <c r="C20" s="173"/>
      <c r="D20" s="173"/>
      <c r="E20" s="174"/>
      <c r="F20" s="37" t="s">
        <v>858</v>
      </c>
      <c r="G20" s="37" t="s">
        <v>732</v>
      </c>
      <c r="H20" s="37" t="s">
        <v>222</v>
      </c>
      <c r="I20" s="37" t="s">
        <v>858</v>
      </c>
    </row>
    <row r="21" spans="1:9" ht="15" customHeight="1">
      <c r="A21" s="132" t="s">
        <v>98</v>
      </c>
      <c r="B21" s="133"/>
      <c r="C21" s="133"/>
      <c r="D21" s="133"/>
      <c r="E21" s="143"/>
      <c r="F21" s="21">
        <v>0</v>
      </c>
      <c r="G21" s="8" t="s">
        <v>577</v>
      </c>
      <c r="H21" s="8" t="s">
        <v>577</v>
      </c>
      <c r="I21" s="21">
        <f aca="true" t="shared" si="0" ref="I21:I26">F21</f>
        <v>0</v>
      </c>
    </row>
    <row r="22" spans="1:9" ht="15" customHeight="1">
      <c r="A22" s="132" t="s">
        <v>670</v>
      </c>
      <c r="B22" s="133"/>
      <c r="C22" s="133"/>
      <c r="D22" s="133"/>
      <c r="E22" s="143"/>
      <c r="F22" s="21">
        <v>0</v>
      </c>
      <c r="G22" s="8" t="s">
        <v>577</v>
      </c>
      <c r="H22" s="8" t="s">
        <v>577</v>
      </c>
      <c r="I22" s="21">
        <f t="shared" si="0"/>
        <v>0</v>
      </c>
    </row>
    <row r="23" spans="1:9" ht="15" customHeight="1">
      <c r="A23" s="132" t="s">
        <v>802</v>
      </c>
      <c r="B23" s="133"/>
      <c r="C23" s="133"/>
      <c r="D23" s="133"/>
      <c r="E23" s="143"/>
      <c r="F23" s="21">
        <v>0</v>
      </c>
      <c r="G23" s="8" t="s">
        <v>577</v>
      </c>
      <c r="H23" s="8" t="s">
        <v>577</v>
      </c>
      <c r="I23" s="21">
        <f t="shared" si="0"/>
        <v>0</v>
      </c>
    </row>
    <row r="24" spans="1:9" ht="15" customHeight="1">
      <c r="A24" s="132" t="s">
        <v>460</v>
      </c>
      <c r="B24" s="133"/>
      <c r="C24" s="133"/>
      <c r="D24" s="133"/>
      <c r="E24" s="143"/>
      <c r="F24" s="21">
        <v>0</v>
      </c>
      <c r="G24" s="8" t="s">
        <v>577</v>
      </c>
      <c r="H24" s="8" t="s">
        <v>577</v>
      </c>
      <c r="I24" s="21">
        <f t="shared" si="0"/>
        <v>0</v>
      </c>
    </row>
    <row r="25" spans="1:9" ht="15" customHeight="1">
      <c r="A25" s="132" t="s">
        <v>546</v>
      </c>
      <c r="B25" s="133"/>
      <c r="C25" s="133"/>
      <c r="D25" s="133"/>
      <c r="E25" s="143"/>
      <c r="F25" s="21">
        <v>0</v>
      </c>
      <c r="G25" s="8" t="s">
        <v>577</v>
      </c>
      <c r="H25" s="8" t="s">
        <v>577</v>
      </c>
      <c r="I25" s="21">
        <f t="shared" si="0"/>
        <v>0</v>
      </c>
    </row>
    <row r="26" spans="1:9" ht="15" customHeight="1">
      <c r="A26" s="129" t="s">
        <v>825</v>
      </c>
      <c r="B26" s="130"/>
      <c r="C26" s="130"/>
      <c r="D26" s="130"/>
      <c r="E26" s="140"/>
      <c r="F26" s="50">
        <v>0</v>
      </c>
      <c r="G26" s="31" t="s">
        <v>577</v>
      </c>
      <c r="H26" s="31" t="s">
        <v>577</v>
      </c>
      <c r="I26" s="50">
        <f t="shared" si="0"/>
        <v>0</v>
      </c>
    </row>
    <row r="27" spans="1:9" ht="15" customHeight="1">
      <c r="A27" s="175" t="s">
        <v>370</v>
      </c>
      <c r="B27" s="176"/>
      <c r="C27" s="176"/>
      <c r="D27" s="176"/>
      <c r="E27" s="177"/>
      <c r="F27" s="43" t="s">
        <v>577</v>
      </c>
      <c r="G27" s="72" t="s">
        <v>577</v>
      </c>
      <c r="H27" s="72" t="s">
        <v>577</v>
      </c>
      <c r="I27" s="47">
        <f>SUM(I21:I26)</f>
        <v>0</v>
      </c>
    </row>
    <row r="29" spans="1:9" ht="15.75" customHeight="1">
      <c r="A29" s="178" t="s">
        <v>868</v>
      </c>
      <c r="B29" s="179"/>
      <c r="C29" s="179"/>
      <c r="D29" s="179"/>
      <c r="E29" s="180"/>
      <c r="F29" s="181">
        <f>I18+I27</f>
        <v>0</v>
      </c>
      <c r="G29" s="182"/>
      <c r="H29" s="182"/>
      <c r="I29" s="183"/>
    </row>
    <row r="33" spans="1:5" ht="15.75" customHeight="1">
      <c r="A33" s="171" t="s">
        <v>25</v>
      </c>
      <c r="B33" s="171"/>
      <c r="C33" s="171"/>
      <c r="D33" s="171"/>
      <c r="E33" s="171"/>
    </row>
    <row r="34" spans="1:9" ht="15" customHeight="1">
      <c r="A34" s="172" t="s">
        <v>19</v>
      </c>
      <c r="B34" s="173"/>
      <c r="C34" s="173"/>
      <c r="D34" s="173"/>
      <c r="E34" s="174"/>
      <c r="F34" s="37" t="s">
        <v>858</v>
      </c>
      <c r="G34" s="37" t="s">
        <v>732</v>
      </c>
      <c r="H34" s="37" t="s">
        <v>222</v>
      </c>
      <c r="I34" s="37" t="s">
        <v>858</v>
      </c>
    </row>
    <row r="35" spans="1:9" ht="15" customHeight="1">
      <c r="A35" s="132" t="s">
        <v>421</v>
      </c>
      <c r="B35" s="133"/>
      <c r="C35" s="133"/>
      <c r="D35" s="133"/>
      <c r="E35" s="143"/>
      <c r="F35" s="21">
        <f>SUM('Stavební rozpočet'!BM12:BM483)</f>
        <v>0</v>
      </c>
      <c r="G35" s="8" t="s">
        <v>577</v>
      </c>
      <c r="H35" s="8" t="s">
        <v>577</v>
      </c>
      <c r="I35" s="21">
        <f aca="true" t="shared" si="1" ref="I35:I44">F35</f>
        <v>0</v>
      </c>
    </row>
    <row r="36" spans="1:9" ht="15" customHeight="1">
      <c r="A36" s="132" t="s">
        <v>721</v>
      </c>
      <c r="B36" s="133"/>
      <c r="C36" s="133"/>
      <c r="D36" s="133"/>
      <c r="E36" s="143"/>
      <c r="F36" s="21">
        <f>SUM('Stavební rozpočet'!BN12:BN483)</f>
        <v>0</v>
      </c>
      <c r="G36" s="8" t="s">
        <v>577</v>
      </c>
      <c r="H36" s="8" t="s">
        <v>577</v>
      </c>
      <c r="I36" s="21">
        <f t="shared" si="1"/>
        <v>0</v>
      </c>
    </row>
    <row r="37" spans="1:9" ht="15" customHeight="1">
      <c r="A37" s="132" t="s">
        <v>98</v>
      </c>
      <c r="B37" s="133"/>
      <c r="C37" s="133"/>
      <c r="D37" s="133"/>
      <c r="E37" s="143"/>
      <c r="F37" s="21">
        <f>SUM('Stavební rozpočet'!BO12:BO483)</f>
        <v>0</v>
      </c>
      <c r="G37" s="8" t="s">
        <v>577</v>
      </c>
      <c r="H37" s="8" t="s">
        <v>577</v>
      </c>
      <c r="I37" s="21">
        <f t="shared" si="1"/>
        <v>0</v>
      </c>
    </row>
    <row r="38" spans="1:9" ht="15" customHeight="1">
      <c r="A38" s="132" t="s">
        <v>696</v>
      </c>
      <c r="B38" s="133"/>
      <c r="C38" s="133"/>
      <c r="D38" s="133"/>
      <c r="E38" s="143"/>
      <c r="F38" s="21">
        <f>SUM('Stavební rozpočet'!BP12:BP483)</f>
        <v>0</v>
      </c>
      <c r="G38" s="8" t="s">
        <v>577</v>
      </c>
      <c r="H38" s="8" t="s">
        <v>577</v>
      </c>
      <c r="I38" s="21">
        <f t="shared" si="1"/>
        <v>0</v>
      </c>
    </row>
    <row r="39" spans="1:9" ht="15" customHeight="1">
      <c r="A39" s="132" t="s">
        <v>800</v>
      </c>
      <c r="B39" s="133"/>
      <c r="C39" s="133"/>
      <c r="D39" s="133"/>
      <c r="E39" s="143"/>
      <c r="F39" s="21">
        <f>SUM('Stavební rozpočet'!BQ12:BQ483)</f>
        <v>0</v>
      </c>
      <c r="G39" s="8" t="s">
        <v>577</v>
      </c>
      <c r="H39" s="8" t="s">
        <v>577</v>
      </c>
      <c r="I39" s="21">
        <f t="shared" si="1"/>
        <v>0</v>
      </c>
    </row>
    <row r="40" spans="1:9" ht="15" customHeight="1">
      <c r="A40" s="132" t="s">
        <v>802</v>
      </c>
      <c r="B40" s="133"/>
      <c r="C40" s="133"/>
      <c r="D40" s="133"/>
      <c r="E40" s="143"/>
      <c r="F40" s="21">
        <f>SUM('Stavební rozpočet'!BR12:BR483)</f>
        <v>0</v>
      </c>
      <c r="G40" s="8" t="s">
        <v>577</v>
      </c>
      <c r="H40" s="8" t="s">
        <v>577</v>
      </c>
      <c r="I40" s="21">
        <f t="shared" si="1"/>
        <v>0</v>
      </c>
    </row>
    <row r="41" spans="1:9" ht="15" customHeight="1">
      <c r="A41" s="132" t="s">
        <v>460</v>
      </c>
      <c r="B41" s="133"/>
      <c r="C41" s="133"/>
      <c r="D41" s="133"/>
      <c r="E41" s="143"/>
      <c r="F41" s="21">
        <f>SUM('Stavební rozpočet'!BS12:BS483)</f>
        <v>0</v>
      </c>
      <c r="G41" s="8" t="s">
        <v>577</v>
      </c>
      <c r="H41" s="8" t="s">
        <v>577</v>
      </c>
      <c r="I41" s="21">
        <f t="shared" si="1"/>
        <v>0</v>
      </c>
    </row>
    <row r="42" spans="1:9" ht="15" customHeight="1">
      <c r="A42" s="132" t="s">
        <v>933</v>
      </c>
      <c r="B42" s="133"/>
      <c r="C42" s="133"/>
      <c r="D42" s="133"/>
      <c r="E42" s="143"/>
      <c r="F42" s="21">
        <f>SUM('Stavební rozpočet'!BT12:BT483)</f>
        <v>0</v>
      </c>
      <c r="G42" s="8" t="s">
        <v>577</v>
      </c>
      <c r="H42" s="8" t="s">
        <v>577</v>
      </c>
      <c r="I42" s="21">
        <f t="shared" si="1"/>
        <v>0</v>
      </c>
    </row>
    <row r="43" spans="1:9" ht="15" customHeight="1">
      <c r="A43" s="132" t="s">
        <v>247</v>
      </c>
      <c r="B43" s="133"/>
      <c r="C43" s="133"/>
      <c r="D43" s="133"/>
      <c r="E43" s="143"/>
      <c r="F43" s="21">
        <f>SUM('Stavební rozpočet'!BU12:BU483)</f>
        <v>0</v>
      </c>
      <c r="G43" s="8" t="s">
        <v>577</v>
      </c>
      <c r="H43" s="8" t="s">
        <v>577</v>
      </c>
      <c r="I43" s="21">
        <f t="shared" si="1"/>
        <v>0</v>
      </c>
    </row>
    <row r="44" spans="1:9" ht="15" customHeight="1">
      <c r="A44" s="129" t="s">
        <v>789</v>
      </c>
      <c r="B44" s="130"/>
      <c r="C44" s="130"/>
      <c r="D44" s="130"/>
      <c r="E44" s="140"/>
      <c r="F44" s="50">
        <f>SUM('Stavební rozpočet'!BV12:BV483)</f>
        <v>0</v>
      </c>
      <c r="G44" s="31" t="s">
        <v>577</v>
      </c>
      <c r="H44" s="31" t="s">
        <v>577</v>
      </c>
      <c r="I44" s="50">
        <f t="shared" si="1"/>
        <v>0</v>
      </c>
    </row>
    <row r="45" spans="1:9" ht="15" customHeight="1">
      <c r="A45" s="175" t="s">
        <v>648</v>
      </c>
      <c r="B45" s="176"/>
      <c r="C45" s="176"/>
      <c r="D45" s="176"/>
      <c r="E45" s="177"/>
      <c r="F45" s="43" t="s">
        <v>577</v>
      </c>
      <c r="G45" s="72" t="s">
        <v>577</v>
      </c>
      <c r="H45" s="72" t="s">
        <v>577</v>
      </c>
      <c r="I45" s="47">
        <f>SUM(I35:I44)</f>
        <v>0</v>
      </c>
    </row>
  </sheetData>
  <sheetProtection/>
  <mergeCells count="60"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  <mergeCell ref="A29:E29"/>
    <mergeCell ref="F29:I29"/>
    <mergeCell ref="A33:E33"/>
    <mergeCell ref="A34:E34"/>
    <mergeCell ref="A35:E35"/>
    <mergeCell ref="A42:E42"/>
    <mergeCell ref="A22:E22"/>
    <mergeCell ref="A23:E23"/>
    <mergeCell ref="A24:E24"/>
    <mergeCell ref="A25:E25"/>
    <mergeCell ref="A26:E26"/>
    <mergeCell ref="A27:E27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OutlineSymbols="0" zoomScalePageLayoutView="0" workbookViewId="0" topLeftCell="A1">
      <pane ySplit="11" topLeftCell="A12" activePane="bottomLeft" state="frozen"/>
      <selection pane="topLeft" activeCell="A17" sqref="A17:L17"/>
      <selection pane="bottomLeft" activeCell="J8" sqref="J8:L9"/>
    </sheetView>
  </sheetViews>
  <sheetFormatPr defaultColWidth="14.16015625" defaultRowHeight="15" customHeight="1"/>
  <cols>
    <col min="1" max="9" width="18.33203125" style="0" customWidth="1"/>
    <col min="10" max="11" width="0" style="0" hidden="1" customWidth="1"/>
    <col min="12" max="12" width="16.66015625" style="0" customWidth="1"/>
    <col min="13" max="16" width="14.16015625" style="0" hidden="1" customWidth="1"/>
  </cols>
  <sheetData>
    <row r="1" spans="1:12" ht="54.75" customHeight="1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 customHeight="1">
      <c r="A2" s="127" t="s">
        <v>68</v>
      </c>
      <c r="B2" s="128"/>
      <c r="C2" s="128"/>
      <c r="D2" s="136" t="str">
        <f>'Stavební rozpočet'!C2</f>
        <v>Kaple sv.Cyrila a Metoděje</v>
      </c>
      <c r="E2" s="137"/>
      <c r="F2" s="137"/>
      <c r="G2" s="134" t="s">
        <v>6</v>
      </c>
      <c r="H2" s="225" t="str">
        <f>'Stavební rozpočet'!G2</f>
        <v> </v>
      </c>
      <c r="I2" s="134" t="s">
        <v>707</v>
      </c>
      <c r="J2" s="134" t="str">
        <f>'Stavební rozpočet'!I2</f>
        <v>Statutární město Opava</v>
      </c>
      <c r="K2" s="128"/>
      <c r="L2" s="139"/>
    </row>
    <row r="3" spans="1:12" ht="15" customHeight="1">
      <c r="A3" s="129"/>
      <c r="B3" s="130"/>
      <c r="C3" s="130"/>
      <c r="D3" s="138"/>
      <c r="E3" s="138"/>
      <c r="F3" s="138"/>
      <c r="G3" s="130"/>
      <c r="H3" s="223"/>
      <c r="I3" s="130"/>
      <c r="J3" s="130"/>
      <c r="K3" s="130"/>
      <c r="L3" s="140"/>
    </row>
    <row r="4" spans="1:12" ht="15" customHeight="1">
      <c r="A4" s="131" t="s">
        <v>466</v>
      </c>
      <c r="B4" s="130"/>
      <c r="C4" s="130"/>
      <c r="D4" s="135" t="str">
        <f>'Stavební rozpočet'!C4</f>
        <v>Církevní stavba</v>
      </c>
      <c r="E4" s="130"/>
      <c r="F4" s="130"/>
      <c r="G4" s="135" t="s">
        <v>745</v>
      </c>
      <c r="H4" s="222" t="str">
        <f>'Stavební rozpočet'!G4</f>
        <v> </v>
      </c>
      <c r="I4" s="135" t="s">
        <v>575</v>
      </c>
      <c r="J4" s="135" t="str">
        <f>'Stavební rozpočet'!I4</f>
        <v>Radek Vašenda, DiS</v>
      </c>
      <c r="K4" s="130"/>
      <c r="L4" s="140"/>
    </row>
    <row r="5" spans="1:12" ht="15" customHeight="1">
      <c r="A5" s="129"/>
      <c r="B5" s="130"/>
      <c r="C5" s="130"/>
      <c r="D5" s="130"/>
      <c r="E5" s="130"/>
      <c r="F5" s="130"/>
      <c r="G5" s="130"/>
      <c r="H5" s="223"/>
      <c r="I5" s="130"/>
      <c r="J5" s="130"/>
      <c r="K5" s="130"/>
      <c r="L5" s="140"/>
    </row>
    <row r="6" spans="1:12" ht="15" customHeight="1">
      <c r="A6" s="131" t="s">
        <v>85</v>
      </c>
      <c r="B6" s="130"/>
      <c r="C6" s="130"/>
      <c r="D6" s="135" t="str">
        <f>'Stavební rozpočet'!C6</f>
        <v>Milostovice</v>
      </c>
      <c r="E6" s="130"/>
      <c r="F6" s="130"/>
      <c r="G6" s="135" t="s">
        <v>300</v>
      </c>
      <c r="H6" s="222" t="str">
        <f>'Stavební rozpočet'!G6</f>
        <v> </v>
      </c>
      <c r="I6" s="135" t="s">
        <v>730</v>
      </c>
      <c r="J6" s="222" t="str">
        <f>'Stavební rozpočet'!I6</f>
        <v>Dle výběru investora</v>
      </c>
      <c r="K6" s="223"/>
      <c r="L6" s="224"/>
    </row>
    <row r="7" spans="1:12" ht="15" customHeight="1">
      <c r="A7" s="129"/>
      <c r="B7" s="130"/>
      <c r="C7" s="130"/>
      <c r="D7" s="130"/>
      <c r="E7" s="130"/>
      <c r="F7" s="130"/>
      <c r="G7" s="130"/>
      <c r="H7" s="223"/>
      <c r="I7" s="130"/>
      <c r="J7" s="223"/>
      <c r="K7" s="223"/>
      <c r="L7" s="224"/>
    </row>
    <row r="8" spans="1:12" ht="15" customHeight="1">
      <c r="A8" s="131" t="s">
        <v>434</v>
      </c>
      <c r="B8" s="130"/>
      <c r="C8" s="130"/>
      <c r="D8" s="135" t="str">
        <f>'Stavební rozpočet'!C8</f>
        <v>8014712</v>
      </c>
      <c r="E8" s="130"/>
      <c r="F8" s="130"/>
      <c r="G8" s="135" t="s">
        <v>483</v>
      </c>
      <c r="H8" s="222" t="str">
        <f>'Stavební rozpočet'!G8</f>
        <v>01.12.2023</v>
      </c>
      <c r="I8" s="135" t="s">
        <v>559</v>
      </c>
      <c r="J8" s="222" t="str">
        <f>'Stavební rozpočet'!I8</f>
        <v>Ing.Lucie Szöke</v>
      </c>
      <c r="K8" s="223"/>
      <c r="L8" s="224"/>
    </row>
    <row r="9" spans="1:12" ht="15" customHeight="1">
      <c r="A9" s="129"/>
      <c r="B9" s="130"/>
      <c r="C9" s="130"/>
      <c r="D9" s="130"/>
      <c r="E9" s="130"/>
      <c r="F9" s="130"/>
      <c r="G9" s="130"/>
      <c r="H9" s="223"/>
      <c r="I9" s="130"/>
      <c r="J9" s="223"/>
      <c r="K9" s="223"/>
      <c r="L9" s="224"/>
    </row>
    <row r="10" spans="1:12" ht="15" customHeight="1">
      <c r="A10" s="184" t="s">
        <v>774</v>
      </c>
      <c r="B10" s="185"/>
      <c r="C10" s="185"/>
      <c r="D10" s="185"/>
      <c r="E10" s="185"/>
      <c r="F10" s="185"/>
      <c r="G10" s="185"/>
      <c r="H10" s="185"/>
      <c r="I10" s="185"/>
      <c r="J10" s="188" t="s">
        <v>536</v>
      </c>
      <c r="K10" s="189"/>
      <c r="L10" s="190"/>
    </row>
    <row r="11" spans="1:12" ht="15" customHeight="1">
      <c r="A11" s="186" t="s">
        <v>897</v>
      </c>
      <c r="B11" s="187"/>
      <c r="C11" s="187"/>
      <c r="D11" s="187"/>
      <c r="E11" s="187"/>
      <c r="F11" s="187"/>
      <c r="G11" s="187"/>
      <c r="H11" s="187"/>
      <c r="I11" s="187"/>
      <c r="J11" s="64" t="s">
        <v>54</v>
      </c>
      <c r="K11" s="34" t="s">
        <v>171</v>
      </c>
      <c r="L11" s="5" t="s">
        <v>96</v>
      </c>
    </row>
    <row r="12" spans="1:16" ht="15" customHeight="1">
      <c r="A12" s="129" t="s">
        <v>757</v>
      </c>
      <c r="B12" s="130"/>
      <c r="C12" s="130"/>
      <c r="D12" s="130"/>
      <c r="E12" s="130"/>
      <c r="F12" s="130"/>
      <c r="G12" s="130"/>
      <c r="H12" s="130"/>
      <c r="I12" s="130"/>
      <c r="J12" s="15">
        <f>'Stavební rozpočet'!H12</f>
        <v>0</v>
      </c>
      <c r="K12" s="15">
        <f>'Stavební rozpočet'!I12</f>
        <v>0</v>
      </c>
      <c r="L12" s="50">
        <f>'Stavební rozpočet (1_ST)'!J12</f>
        <v>0</v>
      </c>
      <c r="M12" s="1" t="s">
        <v>402</v>
      </c>
      <c r="N12" s="15">
        <f>IF(M12="F",0,L12)</f>
        <v>0</v>
      </c>
      <c r="O12" s="11" t="s">
        <v>566</v>
      </c>
      <c r="P12" s="15">
        <f>IF(M12="T",0,L12)</f>
        <v>0</v>
      </c>
    </row>
    <row r="13" spans="1:16" ht="15" customHeight="1">
      <c r="A13" s="129" t="s">
        <v>590</v>
      </c>
      <c r="B13" s="130"/>
      <c r="C13" s="130"/>
      <c r="D13" s="130"/>
      <c r="E13" s="130"/>
      <c r="F13" s="130"/>
      <c r="G13" s="130"/>
      <c r="H13" s="130"/>
      <c r="I13" s="130"/>
      <c r="J13" s="15">
        <f>'Stavební rozpočet'!H382</f>
        <v>0</v>
      </c>
      <c r="K13" s="15">
        <f>'Stavební rozpočet'!I382</f>
        <v>0</v>
      </c>
      <c r="L13" s="50">
        <f>'Stavební rozpočet (2_HR)'!J12</f>
        <v>0</v>
      </c>
      <c r="M13" s="1" t="s">
        <v>402</v>
      </c>
      <c r="N13" s="15">
        <f>IF(M13="F",0,L13)</f>
        <v>0</v>
      </c>
      <c r="O13" s="11" t="s">
        <v>901</v>
      </c>
      <c r="P13" s="15">
        <f>IF(M13="T",0,L13)</f>
        <v>0</v>
      </c>
    </row>
    <row r="14" spans="1:16" ht="15" customHeight="1">
      <c r="A14" s="132" t="s">
        <v>650</v>
      </c>
      <c r="B14" s="133"/>
      <c r="C14" s="133"/>
      <c r="D14" s="133"/>
      <c r="E14" s="133"/>
      <c r="F14" s="133"/>
      <c r="G14" s="133"/>
      <c r="H14" s="133"/>
      <c r="I14" s="133"/>
      <c r="J14" s="26">
        <f>'Stavební rozpočet'!H423</f>
        <v>0</v>
      </c>
      <c r="K14" s="26">
        <f>'Stavební rozpočet'!I423</f>
        <v>0</v>
      </c>
      <c r="L14" s="21">
        <f>'Stavební rozpočet (3_VRN)'!J12</f>
        <v>300000</v>
      </c>
      <c r="M14" s="1" t="s">
        <v>402</v>
      </c>
      <c r="N14" s="15">
        <f>IF(M14="F",0,L14)</f>
        <v>0</v>
      </c>
      <c r="O14" s="11" t="s">
        <v>650</v>
      </c>
      <c r="P14" s="15">
        <f>IF(M14="T",0,L14)</f>
        <v>300000</v>
      </c>
    </row>
    <row r="15" spans="10:12" ht="15" customHeight="1">
      <c r="J15" s="138" t="s">
        <v>668</v>
      </c>
      <c r="K15" s="138"/>
      <c r="L15" s="30">
        <f>SUM(P12:P14)</f>
        <v>300000</v>
      </c>
    </row>
    <row r="16" ht="15" customHeight="1">
      <c r="A16" s="60" t="s">
        <v>83</v>
      </c>
    </row>
    <row r="17" spans="1:12" ht="40.5" customHeight="1">
      <c r="A17" s="135" t="s">
        <v>883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</sheetData>
  <sheetProtection password="C6FC" sheet="1"/>
  <mergeCells count="33">
    <mergeCell ref="J15:K15"/>
    <mergeCell ref="A17:L17"/>
    <mergeCell ref="A10:I10"/>
    <mergeCell ref="A11:I11"/>
    <mergeCell ref="J10:L10"/>
    <mergeCell ref="A12:I12"/>
    <mergeCell ref="A13:I13"/>
    <mergeCell ref="A14:I14"/>
    <mergeCell ref="I2:I3"/>
    <mergeCell ref="I4:I5"/>
    <mergeCell ref="I6:I7"/>
    <mergeCell ref="I8:I9"/>
    <mergeCell ref="J2:L3"/>
    <mergeCell ref="J4:L5"/>
    <mergeCell ref="J6:L7"/>
    <mergeCell ref="J8:L9"/>
    <mergeCell ref="G4:G5"/>
    <mergeCell ref="G6:G7"/>
    <mergeCell ref="G8:G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4"/>
  <sheetViews>
    <sheetView showOutlineSymbols="0" zoomScalePageLayoutView="0" workbookViewId="0" topLeftCell="A1">
      <pane ySplit="11" topLeftCell="A12" activePane="bottomLeft" state="frozen"/>
      <selection pane="topLeft" activeCell="A384" sqref="A384:K384"/>
      <selection pane="bottomLeft" activeCell="G21" sqref="G21"/>
    </sheetView>
  </sheetViews>
  <sheetFormatPr defaultColWidth="14.16015625" defaultRowHeight="15"/>
  <cols>
    <col min="1" max="1" width="4.66015625" style="81" customWidth="1"/>
    <col min="2" max="2" width="20.83203125" style="81" customWidth="1"/>
    <col min="3" max="3" width="50" style="81" customWidth="1"/>
    <col min="4" max="4" width="41.66015625" style="81" customWidth="1"/>
    <col min="5" max="5" width="7.5" style="81" customWidth="1"/>
    <col min="6" max="6" width="15" style="81" customWidth="1"/>
    <col min="7" max="7" width="14" style="81" customWidth="1"/>
    <col min="8" max="9" width="0" style="81" hidden="1" customWidth="1"/>
    <col min="10" max="10" width="18.33203125" style="81" customWidth="1"/>
    <col min="11" max="11" width="15.66015625" style="81" customWidth="1"/>
    <col min="12" max="24" width="14.16015625" style="81" customWidth="1"/>
    <col min="25" max="75" width="14.16015625" style="81" hidden="1" customWidth="1"/>
    <col min="76" max="16384" width="14.16015625" style="81" customWidth="1"/>
  </cols>
  <sheetData>
    <row r="1" spans="1:47" ht="23.25">
      <c r="A1" s="125" t="s">
        <v>600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AS1" s="82">
        <f>SUM(AJ1:AJ2)</f>
        <v>0</v>
      </c>
      <c r="AT1" s="82">
        <f>SUM(AK1:AK2)</f>
        <v>0</v>
      </c>
      <c r="AU1" s="82">
        <f>SUM(AL1:AL2)</f>
        <v>0</v>
      </c>
    </row>
    <row r="2" spans="1:11" ht="15" hidden="1">
      <c r="A2" s="127" t="s">
        <v>68</v>
      </c>
      <c r="B2" s="134"/>
      <c r="C2" s="136" t="str">
        <f>'Stavební rozpočet'!C2</f>
        <v>Kaple sv.Cyrila a Metoděje</v>
      </c>
      <c r="D2" s="136"/>
      <c r="E2" s="134" t="s">
        <v>6</v>
      </c>
      <c r="F2" s="134"/>
      <c r="G2" s="134" t="str">
        <f>'Stavební rozpočet'!G2</f>
        <v> </v>
      </c>
      <c r="H2" s="134" t="s">
        <v>707</v>
      </c>
      <c r="I2" s="134" t="str">
        <f>'Stavební rozpočet'!I2</f>
        <v>Statutární město Opava</v>
      </c>
      <c r="J2" s="134"/>
      <c r="K2" s="191"/>
    </row>
    <row r="3" spans="1:11" ht="15" hidden="1">
      <c r="A3" s="131"/>
      <c r="B3" s="135"/>
      <c r="C3" s="194"/>
      <c r="D3" s="194"/>
      <c r="E3" s="135"/>
      <c r="F3" s="135"/>
      <c r="G3" s="135"/>
      <c r="H3" s="135"/>
      <c r="I3" s="135"/>
      <c r="J3" s="135"/>
      <c r="K3" s="142"/>
    </row>
    <row r="4" spans="1:11" ht="15" hidden="1">
      <c r="A4" s="131" t="s">
        <v>466</v>
      </c>
      <c r="B4" s="135"/>
      <c r="C4" s="135" t="str">
        <f>'Stavební rozpočet'!C4</f>
        <v>Církevní stavba</v>
      </c>
      <c r="D4" s="135"/>
      <c r="E4" s="135" t="s">
        <v>745</v>
      </c>
      <c r="F4" s="135"/>
      <c r="G4" s="135" t="str">
        <f>'Stavební rozpočet'!G4</f>
        <v> </v>
      </c>
      <c r="H4" s="135" t="s">
        <v>575</v>
      </c>
      <c r="I4" s="135" t="str">
        <f>'Stavební rozpočet'!I4</f>
        <v>Radek Vašenda, DiS</v>
      </c>
      <c r="J4" s="135"/>
      <c r="K4" s="142"/>
    </row>
    <row r="5" spans="1:11" ht="15" hidden="1">
      <c r="A5" s="131"/>
      <c r="B5" s="135"/>
      <c r="C5" s="135"/>
      <c r="D5" s="135"/>
      <c r="E5" s="135"/>
      <c r="F5" s="135"/>
      <c r="G5" s="135"/>
      <c r="H5" s="135"/>
      <c r="I5" s="135"/>
      <c r="J5" s="135"/>
      <c r="K5" s="142"/>
    </row>
    <row r="6" spans="1:11" ht="15" hidden="1">
      <c r="A6" s="131" t="s">
        <v>85</v>
      </c>
      <c r="B6" s="135"/>
      <c r="C6" s="135" t="str">
        <f>'Stavební rozpočet'!C6</f>
        <v>Milostovice</v>
      </c>
      <c r="D6" s="135"/>
      <c r="E6" s="135" t="s">
        <v>300</v>
      </c>
      <c r="F6" s="135"/>
      <c r="G6" s="135" t="str">
        <f>'Stavební rozpočet'!G6</f>
        <v> </v>
      </c>
      <c r="H6" s="135" t="s">
        <v>730</v>
      </c>
      <c r="I6" s="135" t="str">
        <f>'Stavební rozpočet'!I6</f>
        <v>Dle výběru investora</v>
      </c>
      <c r="J6" s="135"/>
      <c r="K6" s="142"/>
    </row>
    <row r="7" spans="1:11" ht="15" hidden="1">
      <c r="A7" s="131"/>
      <c r="B7" s="135"/>
      <c r="C7" s="135"/>
      <c r="D7" s="135"/>
      <c r="E7" s="135"/>
      <c r="F7" s="135"/>
      <c r="G7" s="135"/>
      <c r="H7" s="135"/>
      <c r="I7" s="135"/>
      <c r="J7" s="135"/>
      <c r="K7" s="142"/>
    </row>
    <row r="8" spans="1:11" ht="15" hidden="1">
      <c r="A8" s="131" t="s">
        <v>434</v>
      </c>
      <c r="B8" s="135"/>
      <c r="C8" s="135" t="str">
        <f>'Stavební rozpočet'!C8</f>
        <v>8014712</v>
      </c>
      <c r="D8" s="135"/>
      <c r="E8" s="135" t="s">
        <v>483</v>
      </c>
      <c r="F8" s="135"/>
      <c r="G8" s="135" t="str">
        <f>'Stavební rozpočet'!G8</f>
        <v>01.12.2023</v>
      </c>
      <c r="H8" s="135" t="s">
        <v>559</v>
      </c>
      <c r="I8" s="135" t="str">
        <f>'Stavební rozpočet'!I8</f>
        <v>Ing.Lucie Szöke</v>
      </c>
      <c r="J8" s="135"/>
      <c r="K8" s="142"/>
    </row>
    <row r="9" spans="1:11" ht="15" hidden="1">
      <c r="A9" s="131"/>
      <c r="B9" s="135"/>
      <c r="C9" s="135"/>
      <c r="D9" s="135"/>
      <c r="E9" s="135"/>
      <c r="F9" s="135"/>
      <c r="G9" s="135"/>
      <c r="H9" s="135"/>
      <c r="I9" s="135"/>
      <c r="J9" s="135"/>
      <c r="K9" s="142"/>
    </row>
    <row r="10" spans="1:75" ht="25.5">
      <c r="A10" s="83" t="s">
        <v>74</v>
      </c>
      <c r="B10" s="84" t="s">
        <v>306</v>
      </c>
      <c r="C10" s="192" t="s">
        <v>897</v>
      </c>
      <c r="D10" s="193"/>
      <c r="E10" s="84" t="s">
        <v>322</v>
      </c>
      <c r="F10" s="85" t="s">
        <v>506</v>
      </c>
      <c r="G10" s="86" t="s">
        <v>297</v>
      </c>
      <c r="H10" s="197" t="s">
        <v>536</v>
      </c>
      <c r="I10" s="198"/>
      <c r="J10" s="199"/>
      <c r="K10" s="85" t="s">
        <v>253</v>
      </c>
      <c r="BK10" s="87" t="s">
        <v>365</v>
      </c>
      <c r="BL10" s="88" t="s">
        <v>455</v>
      </c>
      <c r="BW10" s="88" t="s">
        <v>916</v>
      </c>
    </row>
    <row r="11" spans="1:62" ht="15">
      <c r="A11" s="89" t="s">
        <v>774</v>
      </c>
      <c r="B11" s="90" t="s">
        <v>774</v>
      </c>
      <c r="C11" s="195" t="s">
        <v>834</v>
      </c>
      <c r="D11" s="196"/>
      <c r="E11" s="90" t="s">
        <v>774</v>
      </c>
      <c r="F11" s="90" t="s">
        <v>774</v>
      </c>
      <c r="G11" s="91" t="s">
        <v>794</v>
      </c>
      <c r="H11" s="92" t="s">
        <v>54</v>
      </c>
      <c r="I11" s="93" t="s">
        <v>171</v>
      </c>
      <c r="J11" s="94" t="s">
        <v>96</v>
      </c>
      <c r="K11" s="93" t="s">
        <v>235</v>
      </c>
      <c r="Z11" s="87" t="s">
        <v>656</v>
      </c>
      <c r="AA11" s="87" t="s">
        <v>519</v>
      </c>
      <c r="AB11" s="87" t="s">
        <v>857</v>
      </c>
      <c r="AC11" s="87" t="s">
        <v>262</v>
      </c>
      <c r="AD11" s="87" t="s">
        <v>713</v>
      </c>
      <c r="AE11" s="87" t="s">
        <v>341</v>
      </c>
      <c r="AF11" s="87" t="s">
        <v>753</v>
      </c>
      <c r="AG11" s="87" t="s">
        <v>394</v>
      </c>
      <c r="AH11" s="87" t="s">
        <v>245</v>
      </c>
      <c r="BH11" s="87" t="s">
        <v>657</v>
      </c>
      <c r="BI11" s="87" t="s">
        <v>844</v>
      </c>
      <c r="BJ11" s="87" t="s">
        <v>908</v>
      </c>
    </row>
    <row r="12" spans="1:11" ht="15">
      <c r="A12" s="95" t="s">
        <v>577</v>
      </c>
      <c r="B12" s="56" t="s">
        <v>577</v>
      </c>
      <c r="C12" s="200" t="s">
        <v>757</v>
      </c>
      <c r="D12" s="200"/>
      <c r="E12" s="96" t="s">
        <v>774</v>
      </c>
      <c r="F12" s="96" t="s">
        <v>774</v>
      </c>
      <c r="G12" s="96" t="s">
        <v>774</v>
      </c>
      <c r="H12" s="97">
        <f>H13+H19+H27+H30+H38+H58+H68+H174+H243+H270+H279+H284+H293+H320+H335+H343+H350+H352+H357+H366</f>
        <v>0</v>
      </c>
      <c r="I12" s="97">
        <f>I13+I19+I27+I30+I38+I58+I68+I174+I243+I270+I279+I284+I293+I320+I335+I343+I350+I352+I357+I366</f>
        <v>0</v>
      </c>
      <c r="J12" s="97">
        <f>J13+J19+J27+J30+J38+J58+J68+J174+J243+J270+J279+J284+J293+J320+J335+J343+J350+J352+J357+J366</f>
        <v>0</v>
      </c>
      <c r="K12" s="98" t="s">
        <v>577</v>
      </c>
    </row>
    <row r="13" spans="1:47" ht="15">
      <c r="A13" s="99" t="s">
        <v>577</v>
      </c>
      <c r="B13" s="22" t="s">
        <v>673</v>
      </c>
      <c r="C13" s="201" t="s">
        <v>845</v>
      </c>
      <c r="D13" s="201"/>
      <c r="E13" s="100" t="s">
        <v>774</v>
      </c>
      <c r="F13" s="100" t="s">
        <v>774</v>
      </c>
      <c r="G13" s="100" t="s">
        <v>774</v>
      </c>
      <c r="H13" s="82">
        <f>SUM(H14:H14)</f>
        <v>0</v>
      </c>
      <c r="I13" s="82">
        <f>SUM(I14:I14)</f>
        <v>0</v>
      </c>
      <c r="J13" s="82">
        <f>SUM(J14:J14)</f>
        <v>0</v>
      </c>
      <c r="K13" s="101" t="s">
        <v>577</v>
      </c>
      <c r="AI13" s="87" t="s">
        <v>566</v>
      </c>
      <c r="AS13" s="82">
        <f>SUM(AJ14:AJ14)</f>
        <v>0</v>
      </c>
      <c r="AT13" s="82">
        <f>SUM(AK14:AK14)</f>
        <v>0</v>
      </c>
      <c r="AU13" s="82">
        <f>SUM(AL14:AL14)</f>
        <v>0</v>
      </c>
    </row>
    <row r="14" spans="1:75" ht="15">
      <c r="A14" s="23" t="s">
        <v>829</v>
      </c>
      <c r="B14" s="19" t="s">
        <v>628</v>
      </c>
      <c r="C14" s="135" t="s">
        <v>741</v>
      </c>
      <c r="D14" s="135"/>
      <c r="E14" s="19" t="s">
        <v>819</v>
      </c>
      <c r="F14" s="102">
        <f>'Stavební rozpočet'!F14</f>
        <v>391</v>
      </c>
      <c r="G14" s="214">
        <v>0</v>
      </c>
      <c r="H14" s="102">
        <f>F14*AO14</f>
        <v>0</v>
      </c>
      <c r="I14" s="102">
        <f>F14*AP14</f>
        <v>0</v>
      </c>
      <c r="J14" s="102">
        <f>F14*G14</f>
        <v>0</v>
      </c>
      <c r="K14" s="103" t="s">
        <v>406</v>
      </c>
      <c r="Z14" s="102">
        <f>IF(AQ14="5",BJ14,0)</f>
        <v>0</v>
      </c>
      <c r="AB14" s="102">
        <f>IF(AQ14="1",BH14,0)</f>
        <v>0</v>
      </c>
      <c r="AC14" s="102">
        <f>IF(AQ14="1",BI14,0)</f>
        <v>0</v>
      </c>
      <c r="AD14" s="102">
        <f>IF(AQ14="7",BH14,0)</f>
        <v>0</v>
      </c>
      <c r="AE14" s="102">
        <f>IF(AQ14="7",BI14,0)</f>
        <v>0</v>
      </c>
      <c r="AF14" s="102">
        <f>IF(AQ14="2",BH14,0)</f>
        <v>0</v>
      </c>
      <c r="AG14" s="102">
        <f>IF(AQ14="2",BI14,0)</f>
        <v>0</v>
      </c>
      <c r="AH14" s="102">
        <f>IF(AQ14="0",BJ14,0)</f>
        <v>0</v>
      </c>
      <c r="AI14" s="87" t="s">
        <v>566</v>
      </c>
      <c r="AJ14" s="102">
        <f>IF(AN14=0,J14,0)</f>
        <v>0</v>
      </c>
      <c r="AK14" s="102">
        <f>IF(AN14=12,J14,0)</f>
        <v>0</v>
      </c>
      <c r="AL14" s="102">
        <f>IF(AN14=21,J14,0)</f>
        <v>0</v>
      </c>
      <c r="AN14" s="102">
        <v>21</v>
      </c>
      <c r="AO14" s="102">
        <f>G14*0.445318352059925</f>
        <v>0</v>
      </c>
      <c r="AP14" s="102">
        <f>G14*(1-0.445318352059925)</f>
        <v>0</v>
      </c>
      <c r="AQ14" s="104" t="s">
        <v>829</v>
      </c>
      <c r="AV14" s="102">
        <f>AW14+AX14</f>
        <v>0</v>
      </c>
      <c r="AW14" s="102">
        <f>F14*AO14</f>
        <v>0</v>
      </c>
      <c r="AX14" s="102">
        <f>F14*AP14</f>
        <v>0</v>
      </c>
      <c r="AY14" s="104" t="s">
        <v>439</v>
      </c>
      <c r="AZ14" s="104" t="s">
        <v>521</v>
      </c>
      <c r="BA14" s="87" t="s">
        <v>870</v>
      </c>
      <c r="BC14" s="102">
        <f>AW14+AX14</f>
        <v>0</v>
      </c>
      <c r="BD14" s="102">
        <f>G14/(100-BE14)*100</f>
        <v>0</v>
      </c>
      <c r="BE14" s="102">
        <v>0</v>
      </c>
      <c r="BF14" s="102">
        <f>14</f>
        <v>14</v>
      </c>
      <c r="BH14" s="102">
        <f>F14*AO14</f>
        <v>0</v>
      </c>
      <c r="BI14" s="102">
        <f>F14*AP14</f>
        <v>0</v>
      </c>
      <c r="BJ14" s="102">
        <f>F14*G14</f>
        <v>0</v>
      </c>
      <c r="BK14" s="102"/>
      <c r="BL14" s="102">
        <v>18</v>
      </c>
      <c r="BW14" s="102">
        <v>21</v>
      </c>
    </row>
    <row r="15" spans="1:11" ht="15">
      <c r="A15" s="105"/>
      <c r="C15" s="202" t="s">
        <v>663</v>
      </c>
      <c r="D15" s="202"/>
      <c r="E15" s="202"/>
      <c r="F15" s="202"/>
      <c r="G15" s="202"/>
      <c r="H15" s="202"/>
      <c r="I15" s="202"/>
      <c r="J15" s="202"/>
      <c r="K15" s="203"/>
    </row>
    <row r="16" spans="1:11" ht="15">
      <c r="A16" s="105"/>
      <c r="C16" s="106" t="s">
        <v>691</v>
      </c>
      <c r="D16" s="107" t="s">
        <v>791</v>
      </c>
      <c r="F16" s="108">
        <v>100.00000000000001</v>
      </c>
      <c r="K16" s="109"/>
    </row>
    <row r="17" spans="1:11" ht="15">
      <c r="A17" s="105"/>
      <c r="C17" s="106" t="s">
        <v>246</v>
      </c>
      <c r="D17" s="107" t="s">
        <v>272</v>
      </c>
      <c r="F17" s="108">
        <v>163.5</v>
      </c>
      <c r="K17" s="109"/>
    </row>
    <row r="18" spans="1:11" ht="15">
      <c r="A18" s="105"/>
      <c r="C18" s="106" t="s">
        <v>469</v>
      </c>
      <c r="D18" s="107" t="s">
        <v>272</v>
      </c>
      <c r="F18" s="108">
        <v>127.50000000000001</v>
      </c>
      <c r="K18" s="109"/>
    </row>
    <row r="19" spans="1:47" ht="15">
      <c r="A19" s="99" t="s">
        <v>577</v>
      </c>
      <c r="B19" s="22" t="s">
        <v>504</v>
      </c>
      <c r="C19" s="201" t="s">
        <v>804</v>
      </c>
      <c r="D19" s="201"/>
      <c r="E19" s="100" t="s">
        <v>774</v>
      </c>
      <c r="F19" s="100" t="s">
        <v>774</v>
      </c>
      <c r="G19" s="100" t="s">
        <v>774</v>
      </c>
      <c r="H19" s="82">
        <f>SUM(H20:H24)</f>
        <v>0</v>
      </c>
      <c r="I19" s="82">
        <f>SUM(I20:I24)</f>
        <v>0</v>
      </c>
      <c r="J19" s="82">
        <f>SUM(J20:J24)</f>
        <v>0</v>
      </c>
      <c r="K19" s="101" t="s">
        <v>577</v>
      </c>
      <c r="AI19" s="87" t="s">
        <v>566</v>
      </c>
      <c r="AS19" s="82">
        <f>SUM(AJ20:AJ24)</f>
        <v>0</v>
      </c>
      <c r="AT19" s="82">
        <f>SUM(AK20:AK24)</f>
        <v>0</v>
      </c>
      <c r="AU19" s="82">
        <f>SUM(AL20:AL24)</f>
        <v>0</v>
      </c>
    </row>
    <row r="20" spans="1:75" ht="15">
      <c r="A20" s="23" t="s">
        <v>574</v>
      </c>
      <c r="B20" s="19" t="s">
        <v>61</v>
      </c>
      <c r="C20" s="135" t="s">
        <v>584</v>
      </c>
      <c r="D20" s="135"/>
      <c r="E20" s="19" t="s">
        <v>807</v>
      </c>
      <c r="F20" s="102">
        <f>'Stavební rozpočet'!F20</f>
        <v>11.88</v>
      </c>
      <c r="G20" s="214">
        <v>0</v>
      </c>
      <c r="H20" s="102">
        <f>F20*AO20</f>
        <v>0</v>
      </c>
      <c r="I20" s="102">
        <f>F20*AP20</f>
        <v>0</v>
      </c>
      <c r="J20" s="102">
        <f>F20*G20</f>
        <v>0</v>
      </c>
      <c r="K20" s="103" t="s">
        <v>406</v>
      </c>
      <c r="Z20" s="102">
        <f>IF(AQ20="5",BJ20,0)</f>
        <v>0</v>
      </c>
      <c r="AB20" s="102">
        <f>IF(AQ20="1",BH20,0)</f>
        <v>0</v>
      </c>
      <c r="AC20" s="102">
        <f>IF(AQ20="1",BI20,0)</f>
        <v>0</v>
      </c>
      <c r="AD20" s="102">
        <f>IF(AQ20="7",BH20,0)</f>
        <v>0</v>
      </c>
      <c r="AE20" s="102">
        <f>IF(AQ20="7",BI20,0)</f>
        <v>0</v>
      </c>
      <c r="AF20" s="102">
        <f>IF(AQ20="2",BH20,0)</f>
        <v>0</v>
      </c>
      <c r="AG20" s="102">
        <f>IF(AQ20="2",BI20,0)</f>
        <v>0</v>
      </c>
      <c r="AH20" s="102">
        <f>IF(AQ20="0",BJ20,0)</f>
        <v>0</v>
      </c>
      <c r="AI20" s="87" t="s">
        <v>566</v>
      </c>
      <c r="AJ20" s="102">
        <f>IF(AN20=0,J20,0)</f>
        <v>0</v>
      </c>
      <c r="AK20" s="102">
        <f>IF(AN20=12,J20,0)</f>
        <v>0</v>
      </c>
      <c r="AL20" s="102">
        <f>IF(AN20=21,J20,0)</f>
        <v>0</v>
      </c>
      <c r="AN20" s="102">
        <v>21</v>
      </c>
      <c r="AO20" s="102">
        <f>G20*0.695769781560979</f>
        <v>0</v>
      </c>
      <c r="AP20" s="102">
        <f>G20*(1-0.695769781560979)</f>
        <v>0</v>
      </c>
      <c r="AQ20" s="104" t="s">
        <v>829</v>
      </c>
      <c r="AV20" s="102">
        <f>AW20+AX20</f>
        <v>0</v>
      </c>
      <c r="AW20" s="102">
        <f>F20*AO20</f>
        <v>0</v>
      </c>
      <c r="AX20" s="102">
        <f>F20*AP20</f>
        <v>0</v>
      </c>
      <c r="AY20" s="104" t="s">
        <v>599</v>
      </c>
      <c r="AZ20" s="104" t="s">
        <v>76</v>
      </c>
      <c r="BA20" s="87" t="s">
        <v>870</v>
      </c>
      <c r="BC20" s="102">
        <f>AW20+AX20</f>
        <v>0</v>
      </c>
      <c r="BD20" s="102">
        <f>G20/(100-BE20)*100</f>
        <v>0</v>
      </c>
      <c r="BE20" s="102">
        <v>0</v>
      </c>
      <c r="BF20" s="102">
        <f>20</f>
        <v>20</v>
      </c>
      <c r="BH20" s="102">
        <f>F20*AO20</f>
        <v>0</v>
      </c>
      <c r="BI20" s="102">
        <f>F20*AP20</f>
        <v>0</v>
      </c>
      <c r="BJ20" s="102">
        <f>F20*G20</f>
        <v>0</v>
      </c>
      <c r="BK20" s="102"/>
      <c r="BL20" s="102">
        <v>31</v>
      </c>
      <c r="BW20" s="102">
        <v>21</v>
      </c>
    </row>
    <row r="21" spans="1:11" ht="38.25">
      <c r="A21" s="105"/>
      <c r="C21" s="106" t="s">
        <v>198</v>
      </c>
      <c r="D21" s="107" t="s">
        <v>878</v>
      </c>
      <c r="F21" s="108">
        <v>11.88</v>
      </c>
      <c r="K21" s="109"/>
    </row>
    <row r="22" spans="1:75" ht="15">
      <c r="A22" s="23" t="s">
        <v>724</v>
      </c>
      <c r="B22" s="19" t="s">
        <v>199</v>
      </c>
      <c r="C22" s="135" t="s">
        <v>88</v>
      </c>
      <c r="D22" s="135"/>
      <c r="E22" s="19" t="s">
        <v>807</v>
      </c>
      <c r="F22" s="102">
        <f>'Stavební rozpočet'!F22</f>
        <v>2.7</v>
      </c>
      <c r="G22" s="214">
        <v>0</v>
      </c>
      <c r="H22" s="102">
        <f>F22*AO22</f>
        <v>0</v>
      </c>
      <c r="I22" s="102">
        <f>F22*AP22</f>
        <v>0</v>
      </c>
      <c r="J22" s="102">
        <f>F22*G22</f>
        <v>0</v>
      </c>
      <c r="K22" s="103" t="s">
        <v>406</v>
      </c>
      <c r="Z22" s="102">
        <f>IF(AQ22="5",BJ22,0)</f>
        <v>0</v>
      </c>
      <c r="AB22" s="102">
        <f>IF(AQ22="1",BH22,0)</f>
        <v>0</v>
      </c>
      <c r="AC22" s="102">
        <f>IF(AQ22="1",BI22,0)</f>
        <v>0</v>
      </c>
      <c r="AD22" s="102">
        <f>IF(AQ22="7",BH22,0)</f>
        <v>0</v>
      </c>
      <c r="AE22" s="102">
        <f>IF(AQ22="7",BI22,0)</f>
        <v>0</v>
      </c>
      <c r="AF22" s="102">
        <f>IF(AQ22="2",BH22,0)</f>
        <v>0</v>
      </c>
      <c r="AG22" s="102">
        <f>IF(AQ22="2",BI22,0)</f>
        <v>0</v>
      </c>
      <c r="AH22" s="102">
        <f>IF(AQ22="0",BJ22,0)</f>
        <v>0</v>
      </c>
      <c r="AI22" s="87" t="s">
        <v>566</v>
      </c>
      <c r="AJ22" s="102">
        <f>IF(AN22=0,J22,0)</f>
        <v>0</v>
      </c>
      <c r="AK22" s="102">
        <f>IF(AN22=12,J22,0)</f>
        <v>0</v>
      </c>
      <c r="AL22" s="102">
        <f>IF(AN22=21,J22,0)</f>
        <v>0</v>
      </c>
      <c r="AN22" s="102">
        <v>21</v>
      </c>
      <c r="AO22" s="102">
        <f>G22*0.724533968311221</f>
        <v>0</v>
      </c>
      <c r="AP22" s="102">
        <f>G22*(1-0.724533968311221)</f>
        <v>0</v>
      </c>
      <c r="AQ22" s="104" t="s">
        <v>829</v>
      </c>
      <c r="AV22" s="102">
        <f>AW22+AX22</f>
        <v>0</v>
      </c>
      <c r="AW22" s="102">
        <f>F22*AO22</f>
        <v>0</v>
      </c>
      <c r="AX22" s="102">
        <f>F22*AP22</f>
        <v>0</v>
      </c>
      <c r="AY22" s="104" t="s">
        <v>599</v>
      </c>
      <c r="AZ22" s="104" t="s">
        <v>76</v>
      </c>
      <c r="BA22" s="87" t="s">
        <v>870</v>
      </c>
      <c r="BC22" s="102">
        <f>AW22+AX22</f>
        <v>0</v>
      </c>
      <c r="BD22" s="102">
        <f>G22/(100-BE22)*100</f>
        <v>0</v>
      </c>
      <c r="BE22" s="102">
        <v>0</v>
      </c>
      <c r="BF22" s="102">
        <f>22</f>
        <v>22</v>
      </c>
      <c r="BH22" s="102">
        <f>F22*AO22</f>
        <v>0</v>
      </c>
      <c r="BI22" s="102">
        <f>F22*AP22</f>
        <v>0</v>
      </c>
      <c r="BJ22" s="102">
        <f>F22*G22</f>
        <v>0</v>
      </c>
      <c r="BK22" s="102"/>
      <c r="BL22" s="102">
        <v>31</v>
      </c>
      <c r="BW22" s="102">
        <v>21</v>
      </c>
    </row>
    <row r="23" spans="1:11" ht="15">
      <c r="A23" s="105"/>
      <c r="C23" s="106" t="s">
        <v>879</v>
      </c>
      <c r="D23" s="107" t="s">
        <v>200</v>
      </c>
      <c r="F23" s="108">
        <v>2.7</v>
      </c>
      <c r="K23" s="109"/>
    </row>
    <row r="24" spans="1:75" ht="15">
      <c r="A24" s="23" t="s">
        <v>108</v>
      </c>
      <c r="B24" s="19" t="s">
        <v>633</v>
      </c>
      <c r="C24" s="135" t="s">
        <v>626</v>
      </c>
      <c r="D24" s="135"/>
      <c r="E24" s="19" t="s">
        <v>807</v>
      </c>
      <c r="F24" s="102">
        <f>'Stavební rozpočet'!F24</f>
        <v>1.43</v>
      </c>
      <c r="G24" s="214">
        <f>'Stavební rozpočet'!G24</f>
        <v>0</v>
      </c>
      <c r="H24" s="102">
        <f>F24*AO24</f>
        <v>0</v>
      </c>
      <c r="I24" s="102">
        <f>F24*AP24</f>
        <v>0</v>
      </c>
      <c r="J24" s="102">
        <f>F24*G24</f>
        <v>0</v>
      </c>
      <c r="K24" s="103" t="s">
        <v>406</v>
      </c>
      <c r="Z24" s="102">
        <f>IF(AQ24="5",BJ24,0)</f>
        <v>0</v>
      </c>
      <c r="AB24" s="102">
        <f>IF(AQ24="1",BH24,0)</f>
        <v>0</v>
      </c>
      <c r="AC24" s="102">
        <f>IF(AQ24="1",BI24,0)</f>
        <v>0</v>
      </c>
      <c r="AD24" s="102">
        <f>IF(AQ24="7",BH24,0)</f>
        <v>0</v>
      </c>
      <c r="AE24" s="102">
        <f>IF(AQ24="7",BI24,0)</f>
        <v>0</v>
      </c>
      <c r="AF24" s="102">
        <f>IF(AQ24="2",BH24,0)</f>
        <v>0</v>
      </c>
      <c r="AG24" s="102">
        <f>IF(AQ24="2",BI24,0)</f>
        <v>0</v>
      </c>
      <c r="AH24" s="102">
        <f>IF(AQ24="0",BJ24,0)</f>
        <v>0</v>
      </c>
      <c r="AI24" s="87" t="s">
        <v>566</v>
      </c>
      <c r="AJ24" s="102">
        <f>IF(AN24=0,J24,0)</f>
        <v>0</v>
      </c>
      <c r="AK24" s="102">
        <f>IF(AN24=12,J24,0)</f>
        <v>0</v>
      </c>
      <c r="AL24" s="102">
        <f>IF(AN24=21,J24,0)</f>
        <v>0</v>
      </c>
      <c r="AN24" s="102">
        <v>21</v>
      </c>
      <c r="AO24" s="102">
        <f>G24*0.691665152144843</f>
        <v>0</v>
      </c>
      <c r="AP24" s="102">
        <f>G24*(1-0.691665152144843)</f>
        <v>0</v>
      </c>
      <c r="AQ24" s="104" t="s">
        <v>829</v>
      </c>
      <c r="AV24" s="102">
        <f>AW24+AX24</f>
        <v>0</v>
      </c>
      <c r="AW24" s="102">
        <f>F24*AO24</f>
        <v>0</v>
      </c>
      <c r="AX24" s="102">
        <f>F24*AP24</f>
        <v>0</v>
      </c>
      <c r="AY24" s="104" t="s">
        <v>599</v>
      </c>
      <c r="AZ24" s="104" t="s">
        <v>76</v>
      </c>
      <c r="BA24" s="87" t="s">
        <v>870</v>
      </c>
      <c r="BC24" s="102">
        <f>AW24+AX24</f>
        <v>0</v>
      </c>
      <c r="BD24" s="102">
        <f>G24/(100-BE24)*100</f>
        <v>0</v>
      </c>
      <c r="BE24" s="102">
        <v>0</v>
      </c>
      <c r="BF24" s="102">
        <f>24</f>
        <v>24</v>
      </c>
      <c r="BH24" s="102">
        <f>F24*AO24</f>
        <v>0</v>
      </c>
      <c r="BI24" s="102">
        <f>F24*AP24</f>
        <v>0</v>
      </c>
      <c r="BJ24" s="102">
        <f>F24*G24</f>
        <v>0</v>
      </c>
      <c r="BK24" s="102"/>
      <c r="BL24" s="102">
        <v>31</v>
      </c>
      <c r="BW24" s="102">
        <v>21</v>
      </c>
    </row>
    <row r="25" spans="1:11" ht="15">
      <c r="A25" s="105"/>
      <c r="C25" s="202" t="s">
        <v>50</v>
      </c>
      <c r="D25" s="202"/>
      <c r="E25" s="202"/>
      <c r="F25" s="202"/>
      <c r="G25" s="202"/>
      <c r="H25" s="202"/>
      <c r="I25" s="202"/>
      <c r="J25" s="202"/>
      <c r="K25" s="203"/>
    </row>
    <row r="26" spans="1:11" ht="25.5">
      <c r="A26" s="105"/>
      <c r="C26" s="106" t="s">
        <v>712</v>
      </c>
      <c r="D26" s="107" t="s">
        <v>467</v>
      </c>
      <c r="F26" s="108">
        <v>1.4300000000000002</v>
      </c>
      <c r="K26" s="109"/>
    </row>
    <row r="27" spans="1:47" ht="15">
      <c r="A27" s="99" t="s">
        <v>577</v>
      </c>
      <c r="B27" s="22" t="s">
        <v>118</v>
      </c>
      <c r="C27" s="201" t="s">
        <v>196</v>
      </c>
      <c r="D27" s="201"/>
      <c r="E27" s="100" t="s">
        <v>774</v>
      </c>
      <c r="F27" s="100" t="s">
        <v>774</v>
      </c>
      <c r="G27" s="100" t="s">
        <v>774</v>
      </c>
      <c r="H27" s="82">
        <f>SUM(H28:H28)</f>
        <v>0</v>
      </c>
      <c r="I27" s="82">
        <f>SUM(I28:I28)</f>
        <v>0</v>
      </c>
      <c r="J27" s="82">
        <f>SUM(J28:J28)</f>
        <v>0</v>
      </c>
      <c r="K27" s="101" t="s">
        <v>577</v>
      </c>
      <c r="AI27" s="87" t="s">
        <v>566</v>
      </c>
      <c r="AS27" s="82">
        <f>SUM(AJ28:AJ28)</f>
        <v>0</v>
      </c>
      <c r="AT27" s="82">
        <f>SUM(AK28:AK28)</f>
        <v>0</v>
      </c>
      <c r="AU27" s="82">
        <f>SUM(AL28:AL28)</f>
        <v>0</v>
      </c>
    </row>
    <row r="28" spans="1:75" ht="15">
      <c r="A28" s="23" t="s">
        <v>461</v>
      </c>
      <c r="B28" s="19" t="s">
        <v>801</v>
      </c>
      <c r="C28" s="135" t="s">
        <v>777</v>
      </c>
      <c r="D28" s="135"/>
      <c r="E28" s="19" t="s">
        <v>819</v>
      </c>
      <c r="F28" s="102">
        <f>'Stavební rozpočet'!F28</f>
        <v>585.8</v>
      </c>
      <c r="G28" s="214">
        <f>'Stavební rozpočet'!G28</f>
        <v>0</v>
      </c>
      <c r="H28" s="102">
        <f>F28*AO28</f>
        <v>0</v>
      </c>
      <c r="I28" s="102">
        <f>F28*AP28</f>
        <v>0</v>
      </c>
      <c r="J28" s="102">
        <f>F28*G28</f>
        <v>0</v>
      </c>
      <c r="K28" s="103" t="s">
        <v>406</v>
      </c>
      <c r="Z28" s="102">
        <f>IF(AQ28="5",BJ28,0)</f>
        <v>0</v>
      </c>
      <c r="AB28" s="102">
        <f>IF(AQ28="1",BH28,0)</f>
        <v>0</v>
      </c>
      <c r="AC28" s="102">
        <f>IF(AQ28="1",BI28,0)</f>
        <v>0</v>
      </c>
      <c r="AD28" s="102">
        <f>IF(AQ28="7",BH28,0)</f>
        <v>0</v>
      </c>
      <c r="AE28" s="102">
        <f>IF(AQ28="7",BI28,0)</f>
        <v>0</v>
      </c>
      <c r="AF28" s="102">
        <f>IF(AQ28="2",BH28,0)</f>
        <v>0</v>
      </c>
      <c r="AG28" s="102">
        <f>IF(AQ28="2",BI28,0)</f>
        <v>0</v>
      </c>
      <c r="AH28" s="102">
        <f>IF(AQ28="0",BJ28,0)</f>
        <v>0</v>
      </c>
      <c r="AI28" s="87" t="s">
        <v>566</v>
      </c>
      <c r="AJ28" s="102">
        <f>IF(AN28=0,J28,0)</f>
        <v>0</v>
      </c>
      <c r="AK28" s="102">
        <f>IF(AN28=12,J28,0)</f>
        <v>0</v>
      </c>
      <c r="AL28" s="102">
        <f>IF(AN28=21,J28,0)</f>
        <v>0</v>
      </c>
      <c r="AN28" s="102">
        <v>21</v>
      </c>
      <c r="AO28" s="102">
        <f>G28*0.456604225300704</f>
        <v>0</v>
      </c>
      <c r="AP28" s="102">
        <f>G28*(1-0.456604225300704)</f>
        <v>0</v>
      </c>
      <c r="AQ28" s="104" t="s">
        <v>829</v>
      </c>
      <c r="AV28" s="102">
        <f>AW28+AX28</f>
        <v>0</v>
      </c>
      <c r="AW28" s="102">
        <f>F28*AO28</f>
        <v>0</v>
      </c>
      <c r="AX28" s="102">
        <f>F28*AP28</f>
        <v>0</v>
      </c>
      <c r="AY28" s="104" t="s">
        <v>711</v>
      </c>
      <c r="AZ28" s="104" t="s">
        <v>332</v>
      </c>
      <c r="BA28" s="87" t="s">
        <v>870</v>
      </c>
      <c r="BC28" s="102">
        <f>AW28+AX28</f>
        <v>0</v>
      </c>
      <c r="BD28" s="102">
        <f>G28/(100-BE28)*100</f>
        <v>0</v>
      </c>
      <c r="BE28" s="102">
        <v>0</v>
      </c>
      <c r="BF28" s="102">
        <f>28</f>
        <v>28</v>
      </c>
      <c r="BH28" s="102">
        <f>F28*AO28</f>
        <v>0</v>
      </c>
      <c r="BI28" s="102">
        <f>F28*AP28</f>
        <v>0</v>
      </c>
      <c r="BJ28" s="102">
        <f>F28*G28</f>
        <v>0</v>
      </c>
      <c r="BK28" s="102"/>
      <c r="BL28" s="102">
        <v>60</v>
      </c>
      <c r="BW28" s="102">
        <v>21</v>
      </c>
    </row>
    <row r="29" spans="1:11" ht="38.25">
      <c r="A29" s="105"/>
      <c r="C29" s="106" t="s">
        <v>775</v>
      </c>
      <c r="D29" s="107" t="s">
        <v>809</v>
      </c>
      <c r="F29" s="108">
        <v>585.8000000000001</v>
      </c>
      <c r="K29" s="109"/>
    </row>
    <row r="30" spans="1:47" ht="15">
      <c r="A30" s="99" t="s">
        <v>577</v>
      </c>
      <c r="B30" s="22" t="s">
        <v>602</v>
      </c>
      <c r="C30" s="201" t="s">
        <v>597</v>
      </c>
      <c r="D30" s="201"/>
      <c r="E30" s="100" t="s">
        <v>774</v>
      </c>
      <c r="F30" s="100" t="s">
        <v>774</v>
      </c>
      <c r="G30" s="100" t="s">
        <v>774</v>
      </c>
      <c r="H30" s="82">
        <f>SUM(H31:H35)</f>
        <v>0</v>
      </c>
      <c r="I30" s="82">
        <f>SUM(I31:I35)</f>
        <v>0</v>
      </c>
      <c r="J30" s="82">
        <f>SUM(J31:J35)</f>
        <v>0</v>
      </c>
      <c r="K30" s="101" t="s">
        <v>577</v>
      </c>
      <c r="AI30" s="87" t="s">
        <v>566</v>
      </c>
      <c r="AS30" s="82">
        <f>SUM(AJ31:AJ35)</f>
        <v>0</v>
      </c>
      <c r="AT30" s="82">
        <f>SUM(AK31:AK35)</f>
        <v>0</v>
      </c>
      <c r="AU30" s="82">
        <f>SUM(AL31:AL35)</f>
        <v>0</v>
      </c>
    </row>
    <row r="31" spans="1:75" ht="39.75" customHeight="1">
      <c r="A31" s="23" t="s">
        <v>154</v>
      </c>
      <c r="B31" s="19" t="s">
        <v>367</v>
      </c>
      <c r="C31" s="135" t="s">
        <v>267</v>
      </c>
      <c r="D31" s="135"/>
      <c r="E31" s="19" t="s">
        <v>819</v>
      </c>
      <c r="F31" s="102">
        <f>'Stavební rozpočet'!F31</f>
        <v>50</v>
      </c>
      <c r="G31" s="214">
        <f>'Stavební rozpočet'!G31</f>
        <v>0</v>
      </c>
      <c r="H31" s="102">
        <f>F31*AO31</f>
        <v>0</v>
      </c>
      <c r="I31" s="102">
        <f>F31*AP31</f>
        <v>0</v>
      </c>
      <c r="J31" s="102">
        <f>F31*G31</f>
        <v>0</v>
      </c>
      <c r="K31" s="103" t="s">
        <v>577</v>
      </c>
      <c r="Z31" s="102">
        <f>IF(AQ31="5",BJ31,0)</f>
        <v>0</v>
      </c>
      <c r="AB31" s="102">
        <f>IF(AQ31="1",BH31,0)</f>
        <v>0</v>
      </c>
      <c r="AC31" s="102">
        <f>IF(AQ31="1",BI31,0)</f>
        <v>0</v>
      </c>
      <c r="AD31" s="102">
        <f>IF(AQ31="7",BH31,0)</f>
        <v>0</v>
      </c>
      <c r="AE31" s="102">
        <f>IF(AQ31="7",BI31,0)</f>
        <v>0</v>
      </c>
      <c r="AF31" s="102">
        <f>IF(AQ31="2",BH31,0)</f>
        <v>0</v>
      </c>
      <c r="AG31" s="102">
        <f>IF(AQ31="2",BI31,0)</f>
        <v>0</v>
      </c>
      <c r="AH31" s="102">
        <f>IF(AQ31="0",BJ31,0)</f>
        <v>0</v>
      </c>
      <c r="AI31" s="87" t="s">
        <v>566</v>
      </c>
      <c r="AJ31" s="102">
        <f>IF(AN31=0,J31,0)</f>
        <v>0</v>
      </c>
      <c r="AK31" s="102">
        <f>IF(AN31=12,J31,0)</f>
        <v>0</v>
      </c>
      <c r="AL31" s="102">
        <f>IF(AN31=21,J31,0)</f>
        <v>0</v>
      </c>
      <c r="AN31" s="102">
        <v>21</v>
      </c>
      <c r="AO31" s="102">
        <f>G31*0</f>
        <v>0</v>
      </c>
      <c r="AP31" s="102">
        <f>G31*(1-0)</f>
        <v>0</v>
      </c>
      <c r="AQ31" s="104" t="s">
        <v>829</v>
      </c>
      <c r="AV31" s="102">
        <f>AW31+AX31</f>
        <v>0</v>
      </c>
      <c r="AW31" s="102">
        <f>F31*AO31</f>
        <v>0</v>
      </c>
      <c r="AX31" s="102">
        <f>F31*AP31</f>
        <v>0</v>
      </c>
      <c r="AY31" s="104" t="s">
        <v>529</v>
      </c>
      <c r="AZ31" s="104" t="s">
        <v>332</v>
      </c>
      <c r="BA31" s="87" t="s">
        <v>870</v>
      </c>
      <c r="BC31" s="102">
        <f>AW31+AX31</f>
        <v>0</v>
      </c>
      <c r="BD31" s="102">
        <f>G31/(100-BE31)*100</f>
        <v>0</v>
      </c>
      <c r="BE31" s="102">
        <v>0</v>
      </c>
      <c r="BF31" s="102">
        <f>31</f>
        <v>31</v>
      </c>
      <c r="BH31" s="102">
        <f>F31*AO31</f>
        <v>0</v>
      </c>
      <c r="BI31" s="102">
        <f>F31*AP31</f>
        <v>0</v>
      </c>
      <c r="BJ31" s="102">
        <f>F31*G31</f>
        <v>0</v>
      </c>
      <c r="BK31" s="102"/>
      <c r="BL31" s="102">
        <v>61</v>
      </c>
      <c r="BW31" s="102">
        <v>21</v>
      </c>
    </row>
    <row r="32" spans="1:11" ht="15">
      <c r="A32" s="105"/>
      <c r="C32" s="202" t="s">
        <v>918</v>
      </c>
      <c r="D32" s="202"/>
      <c r="E32" s="202"/>
      <c r="F32" s="202"/>
      <c r="G32" s="202"/>
      <c r="H32" s="202"/>
      <c r="I32" s="202"/>
      <c r="J32" s="202"/>
      <c r="K32" s="203"/>
    </row>
    <row r="33" spans="1:11" ht="15">
      <c r="A33" s="105"/>
      <c r="C33" s="106" t="s">
        <v>924</v>
      </c>
      <c r="D33" s="107" t="s">
        <v>577</v>
      </c>
      <c r="F33" s="108">
        <v>0</v>
      </c>
      <c r="K33" s="109"/>
    </row>
    <row r="34" spans="1:11" ht="15">
      <c r="A34" s="105"/>
      <c r="C34" s="106" t="s">
        <v>693</v>
      </c>
      <c r="D34" s="107" t="s">
        <v>867</v>
      </c>
      <c r="F34" s="108">
        <v>50.00000000000001</v>
      </c>
      <c r="K34" s="109"/>
    </row>
    <row r="35" spans="1:75" ht="15">
      <c r="A35" s="23" t="s">
        <v>831</v>
      </c>
      <c r="B35" s="19" t="s">
        <v>188</v>
      </c>
      <c r="C35" s="135" t="s">
        <v>10</v>
      </c>
      <c r="D35" s="135"/>
      <c r="E35" s="19" t="s">
        <v>819</v>
      </c>
      <c r="F35" s="102">
        <f>'Stavební rozpočet'!F35</f>
        <v>150</v>
      </c>
      <c r="G35" s="214">
        <f>'Stavební rozpočet'!G35</f>
        <v>0</v>
      </c>
      <c r="H35" s="102">
        <f>F35*AO35</f>
        <v>0</v>
      </c>
      <c r="I35" s="102">
        <f>F35*AP35</f>
        <v>0</v>
      </c>
      <c r="J35" s="102">
        <f>F35*G35</f>
        <v>0</v>
      </c>
      <c r="K35" s="103" t="s">
        <v>406</v>
      </c>
      <c r="Z35" s="102">
        <f>IF(AQ35="5",BJ35,0)</f>
        <v>0</v>
      </c>
      <c r="AB35" s="102">
        <f>IF(AQ35="1",BH35,0)</f>
        <v>0</v>
      </c>
      <c r="AC35" s="102">
        <f>IF(AQ35="1",BI35,0)</f>
        <v>0</v>
      </c>
      <c r="AD35" s="102">
        <f>IF(AQ35="7",BH35,0)</f>
        <v>0</v>
      </c>
      <c r="AE35" s="102">
        <f>IF(AQ35="7",BI35,0)</f>
        <v>0</v>
      </c>
      <c r="AF35" s="102">
        <f>IF(AQ35="2",BH35,0)</f>
        <v>0</v>
      </c>
      <c r="AG35" s="102">
        <f>IF(AQ35="2",BI35,0)</f>
        <v>0</v>
      </c>
      <c r="AH35" s="102">
        <f>IF(AQ35="0",BJ35,0)</f>
        <v>0</v>
      </c>
      <c r="AI35" s="87" t="s">
        <v>566</v>
      </c>
      <c r="AJ35" s="102">
        <f>IF(AN35=0,J35,0)</f>
        <v>0</v>
      </c>
      <c r="AK35" s="102">
        <f>IF(AN35=12,J35,0)</f>
        <v>0</v>
      </c>
      <c r="AL35" s="102">
        <f>IF(AN35=21,J35,0)</f>
        <v>0</v>
      </c>
      <c r="AN35" s="102">
        <v>21</v>
      </c>
      <c r="AO35" s="102">
        <f>G35*0.125110459978606</f>
        <v>0</v>
      </c>
      <c r="AP35" s="102">
        <f>G35*(1-0.125110459978606)</f>
        <v>0</v>
      </c>
      <c r="AQ35" s="104" t="s">
        <v>829</v>
      </c>
      <c r="AV35" s="102">
        <f>AW35+AX35</f>
        <v>0</v>
      </c>
      <c r="AW35" s="102">
        <f>F35*AO35</f>
        <v>0</v>
      </c>
      <c r="AX35" s="102">
        <f>F35*AP35</f>
        <v>0</v>
      </c>
      <c r="AY35" s="104" t="s">
        <v>529</v>
      </c>
      <c r="AZ35" s="104" t="s">
        <v>332</v>
      </c>
      <c r="BA35" s="87" t="s">
        <v>870</v>
      </c>
      <c r="BC35" s="102">
        <f>AW35+AX35</f>
        <v>0</v>
      </c>
      <c r="BD35" s="102">
        <f>G35/(100-BE35)*100</f>
        <v>0</v>
      </c>
      <c r="BE35" s="102">
        <v>0</v>
      </c>
      <c r="BF35" s="102">
        <f>35</f>
        <v>35</v>
      </c>
      <c r="BH35" s="102">
        <f>F35*AO35</f>
        <v>0</v>
      </c>
      <c r="BI35" s="102">
        <f>F35*AP35</f>
        <v>0</v>
      </c>
      <c r="BJ35" s="102">
        <f>F35*G35</f>
        <v>0</v>
      </c>
      <c r="BK35" s="102"/>
      <c r="BL35" s="102">
        <v>61</v>
      </c>
      <c r="BW35" s="102">
        <v>21</v>
      </c>
    </row>
    <row r="36" spans="1:11" ht="15">
      <c r="A36" s="105"/>
      <c r="C36" s="202" t="s">
        <v>377</v>
      </c>
      <c r="D36" s="202"/>
      <c r="E36" s="202"/>
      <c r="F36" s="202"/>
      <c r="G36" s="202"/>
      <c r="H36" s="202"/>
      <c r="I36" s="202"/>
      <c r="J36" s="202"/>
      <c r="K36" s="203"/>
    </row>
    <row r="37" spans="1:11" ht="15">
      <c r="A37" s="105"/>
      <c r="C37" s="106" t="s">
        <v>375</v>
      </c>
      <c r="D37" s="107" t="s">
        <v>723</v>
      </c>
      <c r="F37" s="108">
        <v>150</v>
      </c>
      <c r="K37" s="109"/>
    </row>
    <row r="38" spans="1:47" ht="15">
      <c r="A38" s="99" t="s">
        <v>577</v>
      </c>
      <c r="B38" s="22" t="s">
        <v>922</v>
      </c>
      <c r="C38" s="201" t="s">
        <v>690</v>
      </c>
      <c r="D38" s="201"/>
      <c r="E38" s="100" t="s">
        <v>774</v>
      </c>
      <c r="F38" s="100" t="s">
        <v>774</v>
      </c>
      <c r="G38" s="100" t="s">
        <v>774</v>
      </c>
      <c r="H38" s="82">
        <f>SUM(H39:H56)</f>
        <v>0</v>
      </c>
      <c r="I38" s="82">
        <f>SUM(I39:I56)</f>
        <v>0</v>
      </c>
      <c r="J38" s="82">
        <f>SUM(J39:J56)</f>
        <v>0</v>
      </c>
      <c r="K38" s="101" t="s">
        <v>577</v>
      </c>
      <c r="AI38" s="87" t="s">
        <v>566</v>
      </c>
      <c r="AS38" s="82">
        <f>SUM(AJ39:AJ56)</f>
        <v>0</v>
      </c>
      <c r="AT38" s="82">
        <f>SUM(AK39:AK56)</f>
        <v>0</v>
      </c>
      <c r="AU38" s="82">
        <f>SUM(AL39:AL56)</f>
        <v>0</v>
      </c>
    </row>
    <row r="39" spans="1:75" ht="40.5" customHeight="1">
      <c r="A39" s="23" t="s">
        <v>666</v>
      </c>
      <c r="B39" s="19" t="s">
        <v>936</v>
      </c>
      <c r="C39" s="135" t="s">
        <v>869</v>
      </c>
      <c r="D39" s="135"/>
      <c r="E39" s="19" t="s">
        <v>695</v>
      </c>
      <c r="F39" s="102">
        <f>'Stavební rozpočet'!F39</f>
        <v>25</v>
      </c>
      <c r="G39" s="214">
        <f>'Stavební rozpočet'!G39</f>
        <v>0</v>
      </c>
      <c r="H39" s="102">
        <f>F39*AO39</f>
        <v>0</v>
      </c>
      <c r="I39" s="102">
        <f>F39*AP39</f>
        <v>0</v>
      </c>
      <c r="J39" s="102">
        <f>F39*G39</f>
        <v>0</v>
      </c>
      <c r="K39" s="103" t="s">
        <v>577</v>
      </c>
      <c r="Z39" s="102">
        <f>IF(AQ39="5",BJ39,0)</f>
        <v>0</v>
      </c>
      <c r="AB39" s="102">
        <f>IF(AQ39="1",BH39,0)</f>
        <v>0</v>
      </c>
      <c r="AC39" s="102">
        <f>IF(AQ39="1",BI39,0)</f>
        <v>0</v>
      </c>
      <c r="AD39" s="102">
        <f>IF(AQ39="7",BH39,0)</f>
        <v>0</v>
      </c>
      <c r="AE39" s="102">
        <f>IF(AQ39="7",BI39,0)</f>
        <v>0</v>
      </c>
      <c r="AF39" s="102">
        <f>IF(AQ39="2",BH39,0)</f>
        <v>0</v>
      </c>
      <c r="AG39" s="102">
        <f>IF(AQ39="2",BI39,0)</f>
        <v>0</v>
      </c>
      <c r="AH39" s="102">
        <f>IF(AQ39="0",BJ39,0)</f>
        <v>0</v>
      </c>
      <c r="AI39" s="87" t="s">
        <v>566</v>
      </c>
      <c r="AJ39" s="102">
        <f>IF(AN39=0,J39,0)</f>
        <v>0</v>
      </c>
      <c r="AK39" s="102">
        <f>IF(AN39=12,J39,0)</f>
        <v>0</v>
      </c>
      <c r="AL39" s="102">
        <f>IF(AN39=21,J39,0)</f>
        <v>0</v>
      </c>
      <c r="AN39" s="102">
        <v>21</v>
      </c>
      <c r="AO39" s="102">
        <f>G39*0</f>
        <v>0</v>
      </c>
      <c r="AP39" s="102">
        <f>G39*(1-0)</f>
        <v>0</v>
      </c>
      <c r="AQ39" s="104" t="s">
        <v>829</v>
      </c>
      <c r="AV39" s="102">
        <f>AW39+AX39</f>
        <v>0</v>
      </c>
      <c r="AW39" s="102">
        <f>F39*AO39</f>
        <v>0</v>
      </c>
      <c r="AX39" s="102">
        <f>F39*AP39</f>
        <v>0</v>
      </c>
      <c r="AY39" s="104" t="s">
        <v>400</v>
      </c>
      <c r="AZ39" s="104" t="s">
        <v>332</v>
      </c>
      <c r="BA39" s="87" t="s">
        <v>870</v>
      </c>
      <c r="BC39" s="102">
        <f>AW39+AX39</f>
        <v>0</v>
      </c>
      <c r="BD39" s="102">
        <f>G39/(100-BE39)*100</f>
        <v>0</v>
      </c>
      <c r="BE39" s="102">
        <v>0</v>
      </c>
      <c r="BF39" s="102">
        <f>39</f>
        <v>39</v>
      </c>
      <c r="BH39" s="102">
        <f>F39*AO39</f>
        <v>0</v>
      </c>
      <c r="BI39" s="102">
        <f>F39*AP39</f>
        <v>0</v>
      </c>
      <c r="BJ39" s="102">
        <f>F39*G39</f>
        <v>0</v>
      </c>
      <c r="BK39" s="102"/>
      <c r="BL39" s="102">
        <v>62</v>
      </c>
      <c r="BW39" s="102">
        <v>21</v>
      </c>
    </row>
    <row r="40" spans="1:11" ht="15">
      <c r="A40" s="105"/>
      <c r="C40" s="106" t="s">
        <v>223</v>
      </c>
      <c r="D40" s="107" t="s">
        <v>577</v>
      </c>
      <c r="F40" s="108">
        <v>25.000000000000004</v>
      </c>
      <c r="G40" s="215"/>
      <c r="K40" s="109"/>
    </row>
    <row r="41" spans="1:75" ht="25.5">
      <c r="A41" s="23" t="s">
        <v>348</v>
      </c>
      <c r="B41" s="19" t="s">
        <v>882</v>
      </c>
      <c r="C41" s="135" t="s">
        <v>470</v>
      </c>
      <c r="D41" s="135"/>
      <c r="E41" s="19" t="s">
        <v>321</v>
      </c>
      <c r="F41" s="102">
        <f>'Stavební rozpočet'!F41</f>
        <v>1</v>
      </c>
      <c r="G41" s="214">
        <f>'Stavební rozpočet'!G41</f>
        <v>0</v>
      </c>
      <c r="H41" s="102">
        <f>F41*AO41</f>
        <v>0</v>
      </c>
      <c r="I41" s="102">
        <f>F41*AP41</f>
        <v>0</v>
      </c>
      <c r="J41" s="102">
        <f>F41*G41</f>
        <v>0</v>
      </c>
      <c r="K41" s="103" t="s">
        <v>577</v>
      </c>
      <c r="Z41" s="102">
        <f>IF(AQ41="5",BJ41,0)</f>
        <v>0</v>
      </c>
      <c r="AB41" s="102">
        <f>IF(AQ41="1",BH41,0)</f>
        <v>0</v>
      </c>
      <c r="AC41" s="102">
        <f>IF(AQ41="1",BI41,0)</f>
        <v>0</v>
      </c>
      <c r="AD41" s="102">
        <f>IF(AQ41="7",BH41,0)</f>
        <v>0</v>
      </c>
      <c r="AE41" s="102">
        <f>IF(AQ41="7",BI41,0)</f>
        <v>0</v>
      </c>
      <c r="AF41" s="102">
        <f>IF(AQ41="2",BH41,0)</f>
        <v>0</v>
      </c>
      <c r="AG41" s="102">
        <f>IF(AQ41="2",BI41,0)</f>
        <v>0</v>
      </c>
      <c r="AH41" s="102">
        <f>IF(AQ41="0",BJ41,0)</f>
        <v>0</v>
      </c>
      <c r="AI41" s="87" t="s">
        <v>566</v>
      </c>
      <c r="AJ41" s="102">
        <f>IF(AN41=0,J41,0)</f>
        <v>0</v>
      </c>
      <c r="AK41" s="102">
        <f>IF(AN41=12,J41,0)</f>
        <v>0</v>
      </c>
      <c r="AL41" s="102">
        <f>IF(AN41=21,J41,0)</f>
        <v>0</v>
      </c>
      <c r="AN41" s="102">
        <v>21</v>
      </c>
      <c r="AO41" s="102">
        <f>G41*0</f>
        <v>0</v>
      </c>
      <c r="AP41" s="102">
        <f>G41*(1-0)</f>
        <v>0</v>
      </c>
      <c r="AQ41" s="104" t="s">
        <v>829</v>
      </c>
      <c r="AV41" s="102">
        <f>AW41+AX41</f>
        <v>0</v>
      </c>
      <c r="AW41" s="102">
        <f>F41*AO41</f>
        <v>0</v>
      </c>
      <c r="AX41" s="102">
        <f>F41*AP41</f>
        <v>0</v>
      </c>
      <c r="AY41" s="104" t="s">
        <v>400</v>
      </c>
      <c r="AZ41" s="104" t="s">
        <v>332</v>
      </c>
      <c r="BA41" s="87" t="s">
        <v>870</v>
      </c>
      <c r="BC41" s="102">
        <f>AW41+AX41</f>
        <v>0</v>
      </c>
      <c r="BD41" s="102">
        <f>G41/(100-BE41)*100</f>
        <v>0</v>
      </c>
      <c r="BE41" s="102">
        <v>0</v>
      </c>
      <c r="BF41" s="102">
        <f>41</f>
        <v>41</v>
      </c>
      <c r="BH41" s="102">
        <f>F41*AO41</f>
        <v>0</v>
      </c>
      <c r="BI41" s="102">
        <f>F41*AP41</f>
        <v>0</v>
      </c>
      <c r="BJ41" s="102">
        <f>F41*G41</f>
        <v>0</v>
      </c>
      <c r="BK41" s="102"/>
      <c r="BL41" s="102">
        <v>62</v>
      </c>
      <c r="BW41" s="102">
        <v>21</v>
      </c>
    </row>
    <row r="42" spans="1:11" ht="15">
      <c r="A42" s="105"/>
      <c r="C42" s="202" t="s">
        <v>35</v>
      </c>
      <c r="D42" s="202"/>
      <c r="E42" s="202"/>
      <c r="F42" s="202"/>
      <c r="G42" s="202"/>
      <c r="H42" s="202"/>
      <c r="I42" s="202"/>
      <c r="J42" s="202"/>
      <c r="K42" s="203"/>
    </row>
    <row r="43" spans="1:11" ht="15">
      <c r="A43" s="105"/>
      <c r="C43" s="106" t="s">
        <v>829</v>
      </c>
      <c r="D43" s="107" t="s">
        <v>577</v>
      </c>
      <c r="F43" s="108">
        <v>1</v>
      </c>
      <c r="G43" s="215"/>
      <c r="K43" s="109"/>
    </row>
    <row r="44" spans="1:75" ht="15">
      <c r="A44" s="23" t="s">
        <v>493</v>
      </c>
      <c r="B44" s="19" t="s">
        <v>538</v>
      </c>
      <c r="C44" s="135" t="s">
        <v>873</v>
      </c>
      <c r="D44" s="135"/>
      <c r="E44" s="19" t="s">
        <v>819</v>
      </c>
      <c r="F44" s="102">
        <f>'Stavební rozpočet'!F44</f>
        <v>585.8</v>
      </c>
      <c r="G44" s="214">
        <f>'Stavební rozpočet'!G44</f>
        <v>0</v>
      </c>
      <c r="H44" s="102">
        <f>F44*AO44</f>
        <v>0</v>
      </c>
      <c r="I44" s="102">
        <f>F44*AP44</f>
        <v>0</v>
      </c>
      <c r="J44" s="102">
        <f>F44*G44</f>
        <v>0</v>
      </c>
      <c r="K44" s="103" t="s">
        <v>406</v>
      </c>
      <c r="Z44" s="102">
        <f>IF(AQ44="5",BJ44,0)</f>
        <v>0</v>
      </c>
      <c r="AB44" s="102">
        <f>IF(AQ44="1",BH44,0)</f>
        <v>0</v>
      </c>
      <c r="AC44" s="102">
        <f>IF(AQ44="1",BI44,0)</f>
        <v>0</v>
      </c>
      <c r="AD44" s="102">
        <f>IF(AQ44="7",BH44,0)</f>
        <v>0</v>
      </c>
      <c r="AE44" s="102">
        <f>IF(AQ44="7",BI44,0)</f>
        <v>0</v>
      </c>
      <c r="AF44" s="102">
        <f>IF(AQ44="2",BH44,0)</f>
        <v>0</v>
      </c>
      <c r="AG44" s="102">
        <f>IF(AQ44="2",BI44,0)</f>
        <v>0</v>
      </c>
      <c r="AH44" s="102">
        <f>IF(AQ44="0",BJ44,0)</f>
        <v>0</v>
      </c>
      <c r="AI44" s="87" t="s">
        <v>566</v>
      </c>
      <c r="AJ44" s="102">
        <f>IF(AN44=0,J44,0)</f>
        <v>0</v>
      </c>
      <c r="AK44" s="102">
        <f>IF(AN44=12,J44,0)</f>
        <v>0</v>
      </c>
      <c r="AL44" s="102">
        <f>IF(AN44=21,J44,0)</f>
        <v>0</v>
      </c>
      <c r="AN44" s="102">
        <v>21</v>
      </c>
      <c r="AO44" s="102">
        <f>G44*0.212484662576687</f>
        <v>0</v>
      </c>
      <c r="AP44" s="102">
        <f>G44*(1-0.212484662576687)</f>
        <v>0</v>
      </c>
      <c r="AQ44" s="104" t="s">
        <v>829</v>
      </c>
      <c r="AV44" s="102">
        <f>AW44+AX44</f>
        <v>0</v>
      </c>
      <c r="AW44" s="102">
        <f>F44*AO44</f>
        <v>0</v>
      </c>
      <c r="AX44" s="102">
        <f>F44*AP44</f>
        <v>0</v>
      </c>
      <c r="AY44" s="104" t="s">
        <v>400</v>
      </c>
      <c r="AZ44" s="104" t="s">
        <v>332</v>
      </c>
      <c r="BA44" s="87" t="s">
        <v>870</v>
      </c>
      <c r="BC44" s="102">
        <f>AW44+AX44</f>
        <v>0</v>
      </c>
      <c r="BD44" s="102">
        <f>G44/(100-BE44)*100</f>
        <v>0</v>
      </c>
      <c r="BE44" s="102">
        <v>0</v>
      </c>
      <c r="BF44" s="102">
        <f>44</f>
        <v>44</v>
      </c>
      <c r="BH44" s="102">
        <f>F44*AO44</f>
        <v>0</v>
      </c>
      <c r="BI44" s="102">
        <f>F44*AP44</f>
        <v>0</v>
      </c>
      <c r="BJ44" s="102">
        <f>F44*G44</f>
        <v>0</v>
      </c>
      <c r="BK44" s="102"/>
      <c r="BL44" s="102">
        <v>62</v>
      </c>
      <c r="BW44" s="102">
        <v>21</v>
      </c>
    </row>
    <row r="45" spans="1:11" ht="38.25">
      <c r="A45" s="105"/>
      <c r="C45" s="106" t="s">
        <v>736</v>
      </c>
      <c r="D45" s="107" t="s">
        <v>809</v>
      </c>
      <c r="F45" s="108">
        <v>585.8000000000001</v>
      </c>
      <c r="G45" s="215"/>
      <c r="K45" s="109"/>
    </row>
    <row r="46" spans="1:11" ht="15">
      <c r="A46" s="105"/>
      <c r="C46" s="106" t="s">
        <v>577</v>
      </c>
      <c r="D46" s="107" t="s">
        <v>279</v>
      </c>
      <c r="F46" s="108">
        <v>0</v>
      </c>
      <c r="G46" s="215"/>
      <c r="K46" s="109"/>
    </row>
    <row r="47" spans="1:75" ht="15">
      <c r="A47" s="23" t="s">
        <v>700</v>
      </c>
      <c r="B47" s="19" t="s">
        <v>26</v>
      </c>
      <c r="C47" s="135" t="s">
        <v>687</v>
      </c>
      <c r="D47" s="135"/>
      <c r="E47" s="19" t="s">
        <v>819</v>
      </c>
      <c r="F47" s="102">
        <f>'Stavební rozpočet'!F47</f>
        <v>23.75</v>
      </c>
      <c r="G47" s="214">
        <f>'Stavební rozpočet'!G47</f>
        <v>0</v>
      </c>
      <c r="H47" s="102">
        <f>F47*AO47</f>
        <v>0</v>
      </c>
      <c r="I47" s="102">
        <f>F47*AP47</f>
        <v>0</v>
      </c>
      <c r="J47" s="102">
        <f>F47*G47</f>
        <v>0</v>
      </c>
      <c r="K47" s="103" t="s">
        <v>406</v>
      </c>
      <c r="Z47" s="102">
        <f>IF(AQ47="5",BJ47,0)</f>
        <v>0</v>
      </c>
      <c r="AB47" s="102">
        <f>IF(AQ47="1",BH47,0)</f>
        <v>0</v>
      </c>
      <c r="AC47" s="102">
        <f>IF(AQ47="1",BI47,0)</f>
        <v>0</v>
      </c>
      <c r="AD47" s="102">
        <f>IF(AQ47="7",BH47,0)</f>
        <v>0</v>
      </c>
      <c r="AE47" s="102">
        <f>IF(AQ47="7",BI47,0)</f>
        <v>0</v>
      </c>
      <c r="AF47" s="102">
        <f>IF(AQ47="2",BH47,0)</f>
        <v>0</v>
      </c>
      <c r="AG47" s="102">
        <f>IF(AQ47="2",BI47,0)</f>
        <v>0</v>
      </c>
      <c r="AH47" s="102">
        <f>IF(AQ47="0",BJ47,0)</f>
        <v>0</v>
      </c>
      <c r="AI47" s="87" t="s">
        <v>566</v>
      </c>
      <c r="AJ47" s="102">
        <f>IF(AN47=0,J47,0)</f>
        <v>0</v>
      </c>
      <c r="AK47" s="102">
        <f>IF(AN47=12,J47,0)</f>
        <v>0</v>
      </c>
      <c r="AL47" s="102">
        <f>IF(AN47=21,J47,0)</f>
        <v>0</v>
      </c>
      <c r="AN47" s="102">
        <v>21</v>
      </c>
      <c r="AO47" s="102">
        <f>G47*0.226441680801017</f>
        <v>0</v>
      </c>
      <c r="AP47" s="102">
        <f>G47*(1-0.226441680801017)</f>
        <v>0</v>
      </c>
      <c r="AQ47" s="104" t="s">
        <v>829</v>
      </c>
      <c r="AV47" s="102">
        <f>AW47+AX47</f>
        <v>0</v>
      </c>
      <c r="AW47" s="102">
        <f>F47*AO47</f>
        <v>0</v>
      </c>
      <c r="AX47" s="102">
        <f>F47*AP47</f>
        <v>0</v>
      </c>
      <c r="AY47" s="104" t="s">
        <v>400</v>
      </c>
      <c r="AZ47" s="104" t="s">
        <v>332</v>
      </c>
      <c r="BA47" s="87" t="s">
        <v>870</v>
      </c>
      <c r="BC47" s="102">
        <f>AW47+AX47</f>
        <v>0</v>
      </c>
      <c r="BD47" s="102">
        <f>G47/(100-BE47)*100</f>
        <v>0</v>
      </c>
      <c r="BE47" s="102">
        <v>0</v>
      </c>
      <c r="BF47" s="102">
        <f>47</f>
        <v>47</v>
      </c>
      <c r="BH47" s="102">
        <f>F47*AO47</f>
        <v>0</v>
      </c>
      <c r="BI47" s="102">
        <f>F47*AP47</f>
        <v>0</v>
      </c>
      <c r="BJ47" s="102">
        <f>F47*G47</f>
        <v>0</v>
      </c>
      <c r="BK47" s="102"/>
      <c r="BL47" s="102">
        <v>62</v>
      </c>
      <c r="BW47" s="102">
        <v>21</v>
      </c>
    </row>
    <row r="48" spans="1:11" ht="38.25">
      <c r="A48" s="105"/>
      <c r="C48" s="106" t="s">
        <v>350</v>
      </c>
      <c r="D48" s="107" t="s">
        <v>694</v>
      </c>
      <c r="F48" s="108">
        <v>23.750000000000004</v>
      </c>
      <c r="G48" s="215"/>
      <c r="K48" s="109"/>
    </row>
    <row r="49" spans="1:11" ht="15">
      <c r="A49" s="105"/>
      <c r="C49" s="106" t="s">
        <v>577</v>
      </c>
      <c r="D49" s="107" t="s">
        <v>618</v>
      </c>
      <c r="F49" s="108">
        <v>0</v>
      </c>
      <c r="G49" s="215"/>
      <c r="K49" s="109"/>
    </row>
    <row r="50" spans="1:75" ht="15">
      <c r="A50" s="23" t="s">
        <v>613</v>
      </c>
      <c r="B50" s="19" t="s">
        <v>482</v>
      </c>
      <c r="C50" s="135" t="s">
        <v>638</v>
      </c>
      <c r="D50" s="135"/>
      <c r="E50" s="19" t="s">
        <v>819</v>
      </c>
      <c r="F50" s="102">
        <f>'Stavební rozpočet'!F50</f>
        <v>2.7</v>
      </c>
      <c r="G50" s="214">
        <f>'Stavební rozpočet'!G50</f>
        <v>0</v>
      </c>
      <c r="H50" s="102">
        <f>F50*AO50</f>
        <v>0</v>
      </c>
      <c r="I50" s="102">
        <f>F50*AP50</f>
        <v>0</v>
      </c>
      <c r="J50" s="102">
        <f>F50*G50</f>
        <v>0</v>
      </c>
      <c r="K50" s="103" t="s">
        <v>406</v>
      </c>
      <c r="Z50" s="102">
        <f>IF(AQ50="5",BJ50,0)</f>
        <v>0</v>
      </c>
      <c r="AB50" s="102">
        <f>IF(AQ50="1",BH50,0)</f>
        <v>0</v>
      </c>
      <c r="AC50" s="102">
        <f>IF(AQ50="1",BI50,0)</f>
        <v>0</v>
      </c>
      <c r="AD50" s="102">
        <f>IF(AQ50="7",BH50,0)</f>
        <v>0</v>
      </c>
      <c r="AE50" s="102">
        <f>IF(AQ50="7",BI50,0)</f>
        <v>0</v>
      </c>
      <c r="AF50" s="102">
        <f>IF(AQ50="2",BH50,0)</f>
        <v>0</v>
      </c>
      <c r="AG50" s="102">
        <f>IF(AQ50="2",BI50,0)</f>
        <v>0</v>
      </c>
      <c r="AH50" s="102">
        <f>IF(AQ50="0",BJ50,0)</f>
        <v>0</v>
      </c>
      <c r="AI50" s="87" t="s">
        <v>566</v>
      </c>
      <c r="AJ50" s="102">
        <f>IF(AN50=0,J50,0)</f>
        <v>0</v>
      </c>
      <c r="AK50" s="102">
        <f>IF(AN50=12,J50,0)</f>
        <v>0</v>
      </c>
      <c r="AL50" s="102">
        <f>IF(AN50=21,J50,0)</f>
        <v>0</v>
      </c>
      <c r="AN50" s="102">
        <v>21</v>
      </c>
      <c r="AO50" s="102">
        <f>G50*0.494235517568851</f>
        <v>0</v>
      </c>
      <c r="AP50" s="102">
        <f>G50*(1-0.494235517568851)</f>
        <v>0</v>
      </c>
      <c r="AQ50" s="104" t="s">
        <v>829</v>
      </c>
      <c r="AV50" s="102">
        <f>AW50+AX50</f>
        <v>0</v>
      </c>
      <c r="AW50" s="102">
        <f>F50*AO50</f>
        <v>0</v>
      </c>
      <c r="AX50" s="102">
        <f>F50*AP50</f>
        <v>0</v>
      </c>
      <c r="AY50" s="104" t="s">
        <v>400</v>
      </c>
      <c r="AZ50" s="104" t="s">
        <v>332</v>
      </c>
      <c r="BA50" s="87" t="s">
        <v>870</v>
      </c>
      <c r="BC50" s="102">
        <f>AW50+AX50</f>
        <v>0</v>
      </c>
      <c r="BD50" s="102">
        <f>G50/(100-BE50)*100</f>
        <v>0</v>
      </c>
      <c r="BE50" s="102">
        <v>0</v>
      </c>
      <c r="BF50" s="102">
        <f>50</f>
        <v>50</v>
      </c>
      <c r="BH50" s="102">
        <f>F50*AO50</f>
        <v>0</v>
      </c>
      <c r="BI50" s="102">
        <f>F50*AP50</f>
        <v>0</v>
      </c>
      <c r="BJ50" s="102">
        <f>F50*G50</f>
        <v>0</v>
      </c>
      <c r="BK50" s="102"/>
      <c r="BL50" s="102">
        <v>62</v>
      </c>
      <c r="BW50" s="102">
        <v>21</v>
      </c>
    </row>
    <row r="51" spans="1:11" ht="15">
      <c r="A51" s="105"/>
      <c r="C51" s="202" t="s">
        <v>135</v>
      </c>
      <c r="D51" s="202"/>
      <c r="E51" s="202"/>
      <c r="F51" s="202"/>
      <c r="G51" s="202"/>
      <c r="H51" s="202"/>
      <c r="I51" s="202"/>
      <c r="J51" s="202"/>
      <c r="K51" s="203"/>
    </row>
    <row r="52" spans="1:11" ht="25.5">
      <c r="A52" s="105"/>
      <c r="C52" s="106" t="s">
        <v>879</v>
      </c>
      <c r="D52" s="107" t="s">
        <v>335</v>
      </c>
      <c r="F52" s="108">
        <v>2.7</v>
      </c>
      <c r="G52" s="215"/>
      <c r="K52" s="109"/>
    </row>
    <row r="53" spans="1:75" ht="15">
      <c r="A53" s="23" t="s">
        <v>277</v>
      </c>
      <c r="B53" s="19" t="s">
        <v>760</v>
      </c>
      <c r="C53" s="135" t="s">
        <v>120</v>
      </c>
      <c r="D53" s="135"/>
      <c r="E53" s="19" t="s">
        <v>819</v>
      </c>
      <c r="F53" s="102">
        <f>'Stavební rozpočet'!F53</f>
        <v>585.8</v>
      </c>
      <c r="G53" s="214">
        <f>'Stavební rozpočet'!G53</f>
        <v>0</v>
      </c>
      <c r="H53" s="102">
        <f>F53*AO53</f>
        <v>0</v>
      </c>
      <c r="I53" s="102">
        <f>F53*AP53</f>
        <v>0</v>
      </c>
      <c r="J53" s="102">
        <f>F53*G53</f>
        <v>0</v>
      </c>
      <c r="K53" s="103" t="s">
        <v>406</v>
      </c>
      <c r="Z53" s="102">
        <f>IF(AQ53="5",BJ53,0)</f>
        <v>0</v>
      </c>
      <c r="AB53" s="102">
        <f>IF(AQ53="1",BH53,0)</f>
        <v>0</v>
      </c>
      <c r="AC53" s="102">
        <f>IF(AQ53="1",BI53,0)</f>
        <v>0</v>
      </c>
      <c r="AD53" s="102">
        <f>IF(AQ53="7",BH53,0)</f>
        <v>0</v>
      </c>
      <c r="AE53" s="102">
        <f>IF(AQ53="7",BI53,0)</f>
        <v>0</v>
      </c>
      <c r="AF53" s="102">
        <f>IF(AQ53="2",BH53,0)</f>
        <v>0</v>
      </c>
      <c r="AG53" s="102">
        <f>IF(AQ53="2",BI53,0)</f>
        <v>0</v>
      </c>
      <c r="AH53" s="102">
        <f>IF(AQ53="0",BJ53,0)</f>
        <v>0</v>
      </c>
      <c r="AI53" s="87" t="s">
        <v>566</v>
      </c>
      <c r="AJ53" s="102">
        <f>IF(AN53=0,J53,0)</f>
        <v>0</v>
      </c>
      <c r="AK53" s="102">
        <f>IF(AN53=12,J53,0)</f>
        <v>0</v>
      </c>
      <c r="AL53" s="102">
        <f>IF(AN53=21,J53,0)</f>
        <v>0</v>
      </c>
      <c r="AN53" s="102">
        <v>21</v>
      </c>
      <c r="AO53" s="102">
        <f>G53*0.563976377952756</f>
        <v>0</v>
      </c>
      <c r="AP53" s="102">
        <f>G53*(1-0.563976377952756)</f>
        <v>0</v>
      </c>
      <c r="AQ53" s="104" t="s">
        <v>829</v>
      </c>
      <c r="AV53" s="102">
        <f>AW53+AX53</f>
        <v>0</v>
      </c>
      <c r="AW53" s="102">
        <f>F53*AO53</f>
        <v>0</v>
      </c>
      <c r="AX53" s="102">
        <f>F53*AP53</f>
        <v>0</v>
      </c>
      <c r="AY53" s="104" t="s">
        <v>400</v>
      </c>
      <c r="AZ53" s="104" t="s">
        <v>332</v>
      </c>
      <c r="BA53" s="87" t="s">
        <v>870</v>
      </c>
      <c r="BC53" s="102">
        <f>AW53+AX53</f>
        <v>0</v>
      </c>
      <c r="BD53" s="102">
        <f>G53/(100-BE53)*100</f>
        <v>0</v>
      </c>
      <c r="BE53" s="102">
        <v>0</v>
      </c>
      <c r="BF53" s="102">
        <f>53</f>
        <v>53</v>
      </c>
      <c r="BH53" s="102">
        <f>F53*AO53</f>
        <v>0</v>
      </c>
      <c r="BI53" s="102">
        <f>F53*AP53</f>
        <v>0</v>
      </c>
      <c r="BJ53" s="102">
        <f>F53*G53</f>
        <v>0</v>
      </c>
      <c r="BK53" s="102"/>
      <c r="BL53" s="102">
        <v>62</v>
      </c>
      <c r="BW53" s="102">
        <v>21</v>
      </c>
    </row>
    <row r="54" spans="1:11" ht="15">
      <c r="A54" s="105"/>
      <c r="C54" s="202" t="s">
        <v>528</v>
      </c>
      <c r="D54" s="202"/>
      <c r="E54" s="202"/>
      <c r="F54" s="202"/>
      <c r="G54" s="202"/>
      <c r="H54" s="202"/>
      <c r="I54" s="202"/>
      <c r="J54" s="202"/>
      <c r="K54" s="203"/>
    </row>
    <row r="55" spans="1:11" ht="38.25">
      <c r="A55" s="105"/>
      <c r="C55" s="106" t="s">
        <v>775</v>
      </c>
      <c r="D55" s="107" t="s">
        <v>809</v>
      </c>
      <c r="F55" s="108">
        <v>585.8000000000001</v>
      </c>
      <c r="G55" s="215"/>
      <c r="K55" s="109"/>
    </row>
    <row r="56" spans="1:75" ht="15">
      <c r="A56" s="23" t="s">
        <v>502</v>
      </c>
      <c r="B56" s="19" t="s">
        <v>872</v>
      </c>
      <c r="C56" s="135" t="s">
        <v>63</v>
      </c>
      <c r="D56" s="135"/>
      <c r="E56" s="19" t="s">
        <v>819</v>
      </c>
      <c r="F56" s="102">
        <f>'Stavební rozpočet'!F56</f>
        <v>585.8</v>
      </c>
      <c r="G56" s="214">
        <f>'Stavební rozpočet'!G56</f>
        <v>0</v>
      </c>
      <c r="H56" s="102">
        <f>F56*AO56</f>
        <v>0</v>
      </c>
      <c r="I56" s="102">
        <f>F56*AP56</f>
        <v>0</v>
      </c>
      <c r="J56" s="102">
        <f>F56*G56</f>
        <v>0</v>
      </c>
      <c r="K56" s="103" t="s">
        <v>406</v>
      </c>
      <c r="Z56" s="102">
        <f>IF(AQ56="5",BJ56,0)</f>
        <v>0</v>
      </c>
      <c r="AB56" s="102">
        <f>IF(AQ56="1",BH56,0)</f>
        <v>0</v>
      </c>
      <c r="AC56" s="102">
        <f>IF(AQ56="1",BI56,0)</f>
        <v>0</v>
      </c>
      <c r="AD56" s="102">
        <f>IF(AQ56="7",BH56,0)</f>
        <v>0</v>
      </c>
      <c r="AE56" s="102">
        <f>IF(AQ56="7",BI56,0)</f>
        <v>0</v>
      </c>
      <c r="AF56" s="102">
        <f>IF(AQ56="2",BH56,0)</f>
        <v>0</v>
      </c>
      <c r="AG56" s="102">
        <f>IF(AQ56="2",BI56,0)</f>
        <v>0</v>
      </c>
      <c r="AH56" s="102">
        <f>IF(AQ56="0",BJ56,0)</f>
        <v>0</v>
      </c>
      <c r="AI56" s="87" t="s">
        <v>566</v>
      </c>
      <c r="AJ56" s="102">
        <f>IF(AN56=0,J56,0)</f>
        <v>0</v>
      </c>
      <c r="AK56" s="102">
        <f>IF(AN56=12,J56,0)</f>
        <v>0</v>
      </c>
      <c r="AL56" s="102">
        <f>IF(AN56=21,J56,0)</f>
        <v>0</v>
      </c>
      <c r="AN56" s="102">
        <v>21</v>
      </c>
      <c r="AO56" s="102">
        <f>G56*0.0653881278538813</f>
        <v>0</v>
      </c>
      <c r="AP56" s="102">
        <f>G56*(1-0.0653881278538813)</f>
        <v>0</v>
      </c>
      <c r="AQ56" s="104" t="s">
        <v>829</v>
      </c>
      <c r="AV56" s="102">
        <f>AW56+AX56</f>
        <v>0</v>
      </c>
      <c r="AW56" s="102">
        <f>F56*AO56</f>
        <v>0</v>
      </c>
      <c r="AX56" s="102">
        <f>F56*AP56</f>
        <v>0</v>
      </c>
      <c r="AY56" s="104" t="s">
        <v>400</v>
      </c>
      <c r="AZ56" s="104" t="s">
        <v>332</v>
      </c>
      <c r="BA56" s="87" t="s">
        <v>870</v>
      </c>
      <c r="BC56" s="102">
        <f>AW56+AX56</f>
        <v>0</v>
      </c>
      <c r="BD56" s="102">
        <f>G56/(100-BE56)*100</f>
        <v>0</v>
      </c>
      <c r="BE56" s="102">
        <v>0</v>
      </c>
      <c r="BF56" s="102">
        <f>56</f>
        <v>56</v>
      </c>
      <c r="BH56" s="102">
        <f>F56*AO56</f>
        <v>0</v>
      </c>
      <c r="BI56" s="102">
        <f>F56*AP56</f>
        <v>0</v>
      </c>
      <c r="BJ56" s="102">
        <f>F56*G56</f>
        <v>0</v>
      </c>
      <c r="BK56" s="102"/>
      <c r="BL56" s="102">
        <v>62</v>
      </c>
      <c r="BW56" s="102">
        <v>21</v>
      </c>
    </row>
    <row r="57" spans="1:11" ht="38.25">
      <c r="A57" s="105"/>
      <c r="C57" s="106" t="s">
        <v>775</v>
      </c>
      <c r="D57" s="107" t="s">
        <v>809</v>
      </c>
      <c r="F57" s="108">
        <v>585.8000000000001</v>
      </c>
      <c r="G57" s="215"/>
      <c r="K57" s="109"/>
    </row>
    <row r="58" spans="1:47" ht="15">
      <c r="A58" s="99" t="s">
        <v>577</v>
      </c>
      <c r="B58" s="22" t="s">
        <v>610</v>
      </c>
      <c r="C58" s="201" t="s">
        <v>413</v>
      </c>
      <c r="D58" s="201"/>
      <c r="E58" s="100" t="s">
        <v>774</v>
      </c>
      <c r="F58" s="100" t="s">
        <v>774</v>
      </c>
      <c r="G58" s="100" t="s">
        <v>774</v>
      </c>
      <c r="H58" s="82">
        <f>SUM(H59:H67)</f>
        <v>0</v>
      </c>
      <c r="I58" s="82">
        <f>SUM(I59:I67)</f>
        <v>0</v>
      </c>
      <c r="J58" s="82">
        <f>SUM(J59:J67)</f>
        <v>0</v>
      </c>
      <c r="K58" s="101" t="s">
        <v>577</v>
      </c>
      <c r="AI58" s="87" t="s">
        <v>566</v>
      </c>
      <c r="AS58" s="82">
        <f>SUM(AJ59:AJ67)</f>
        <v>0</v>
      </c>
      <c r="AT58" s="82">
        <f>SUM(AK59:AK67)</f>
        <v>0</v>
      </c>
      <c r="AU58" s="82">
        <f>SUM(AL59:AL67)</f>
        <v>0</v>
      </c>
    </row>
    <row r="59" spans="1:75" ht="15">
      <c r="A59" s="23" t="s">
        <v>360</v>
      </c>
      <c r="B59" s="19" t="s">
        <v>874</v>
      </c>
      <c r="C59" s="135" t="s">
        <v>512</v>
      </c>
      <c r="D59" s="135"/>
      <c r="E59" s="19" t="s">
        <v>819</v>
      </c>
      <c r="F59" s="102">
        <f>'Stavební rozpočet'!F59</f>
        <v>188.35</v>
      </c>
      <c r="G59" s="214">
        <f>'Stavební rozpočet'!G59</f>
        <v>0</v>
      </c>
      <c r="H59" s="102">
        <f>F59*AO59</f>
        <v>0</v>
      </c>
      <c r="I59" s="102">
        <f>F59*AP59</f>
        <v>0</v>
      </c>
      <c r="J59" s="102">
        <f>F59*G59</f>
        <v>0</v>
      </c>
      <c r="K59" s="103" t="s">
        <v>406</v>
      </c>
      <c r="Z59" s="102">
        <f>IF(AQ59="5",BJ59,0)</f>
        <v>0</v>
      </c>
      <c r="AB59" s="102">
        <f>IF(AQ59="1",BH59,0)</f>
        <v>0</v>
      </c>
      <c r="AC59" s="102">
        <f>IF(AQ59="1",BI59,0)</f>
        <v>0</v>
      </c>
      <c r="AD59" s="102">
        <f>IF(AQ59="7",BH59,0)</f>
        <v>0</v>
      </c>
      <c r="AE59" s="102">
        <f>IF(AQ59="7",BI59,0)</f>
        <v>0</v>
      </c>
      <c r="AF59" s="102">
        <f>IF(AQ59="2",BH59,0)</f>
        <v>0</v>
      </c>
      <c r="AG59" s="102">
        <f>IF(AQ59="2",BI59,0)</f>
        <v>0</v>
      </c>
      <c r="AH59" s="102">
        <f>IF(AQ59="0",BJ59,0)</f>
        <v>0</v>
      </c>
      <c r="AI59" s="87" t="s">
        <v>566</v>
      </c>
      <c r="AJ59" s="102">
        <f>IF(AN59=0,J59,0)</f>
        <v>0</v>
      </c>
      <c r="AK59" s="102">
        <f>IF(AN59=12,J59,0)</f>
        <v>0</v>
      </c>
      <c r="AL59" s="102">
        <f>IF(AN59=21,J59,0)</f>
        <v>0</v>
      </c>
      <c r="AN59" s="102">
        <v>21</v>
      </c>
      <c r="AO59" s="102">
        <f>G59*0</f>
        <v>0</v>
      </c>
      <c r="AP59" s="102">
        <f>G59*(1-0)</f>
        <v>0</v>
      </c>
      <c r="AQ59" s="104" t="s">
        <v>831</v>
      </c>
      <c r="AV59" s="102">
        <f>AW59+AX59</f>
        <v>0</v>
      </c>
      <c r="AW59" s="102">
        <f>F59*AO59</f>
        <v>0</v>
      </c>
      <c r="AX59" s="102">
        <f>F59*AP59</f>
        <v>0</v>
      </c>
      <c r="AY59" s="104" t="s">
        <v>396</v>
      </c>
      <c r="AZ59" s="104" t="s">
        <v>631</v>
      </c>
      <c r="BA59" s="87" t="s">
        <v>870</v>
      </c>
      <c r="BC59" s="102">
        <f>AW59+AX59</f>
        <v>0</v>
      </c>
      <c r="BD59" s="102">
        <f>G59/(100-BE59)*100</f>
        <v>0</v>
      </c>
      <c r="BE59" s="102">
        <v>0</v>
      </c>
      <c r="BF59" s="102">
        <f>59</f>
        <v>59</v>
      </c>
      <c r="BH59" s="102">
        <f>F59*AO59</f>
        <v>0</v>
      </c>
      <c r="BI59" s="102">
        <f>F59*AP59</f>
        <v>0</v>
      </c>
      <c r="BJ59" s="102">
        <f>F59*G59</f>
        <v>0</v>
      </c>
      <c r="BK59" s="102"/>
      <c r="BL59" s="102">
        <v>712</v>
      </c>
      <c r="BW59" s="102">
        <v>21</v>
      </c>
    </row>
    <row r="60" spans="1:11" ht="15">
      <c r="A60" s="105"/>
      <c r="C60" s="202" t="s">
        <v>174</v>
      </c>
      <c r="D60" s="202"/>
      <c r="E60" s="202"/>
      <c r="F60" s="202"/>
      <c r="G60" s="202"/>
      <c r="H60" s="202"/>
      <c r="I60" s="202"/>
      <c r="J60" s="202"/>
      <c r="K60" s="203"/>
    </row>
    <row r="61" spans="1:11" ht="15">
      <c r="A61" s="105"/>
      <c r="C61" s="106" t="s">
        <v>197</v>
      </c>
      <c r="D61" s="107" t="s">
        <v>226</v>
      </c>
      <c r="F61" s="108">
        <v>151.15</v>
      </c>
      <c r="G61" s="215"/>
      <c r="K61" s="109"/>
    </row>
    <row r="62" spans="1:11" ht="15">
      <c r="A62" s="105"/>
      <c r="C62" s="106" t="s">
        <v>294</v>
      </c>
      <c r="D62" s="107" t="s">
        <v>718</v>
      </c>
      <c r="F62" s="108">
        <v>15.200000000000001</v>
      </c>
      <c r="G62" s="215"/>
      <c r="K62" s="109"/>
    </row>
    <row r="63" spans="1:11" ht="15">
      <c r="A63" s="105"/>
      <c r="C63" s="106" t="s">
        <v>352</v>
      </c>
      <c r="D63" s="107" t="s">
        <v>42</v>
      </c>
      <c r="F63" s="108">
        <v>22.000000000000004</v>
      </c>
      <c r="G63" s="215"/>
      <c r="K63" s="109"/>
    </row>
    <row r="64" spans="1:75" ht="15">
      <c r="A64" s="23" t="s">
        <v>91</v>
      </c>
      <c r="B64" s="19" t="s">
        <v>79</v>
      </c>
      <c r="C64" s="135" t="s">
        <v>589</v>
      </c>
      <c r="D64" s="135"/>
      <c r="E64" s="19" t="s">
        <v>819</v>
      </c>
      <c r="F64" s="102">
        <f>'Stavební rozpočet'!F64</f>
        <v>188.35</v>
      </c>
      <c r="G64" s="214">
        <f>'Stavební rozpočet'!G64</f>
        <v>0</v>
      </c>
      <c r="H64" s="102">
        <f>F64*AO64</f>
        <v>0</v>
      </c>
      <c r="I64" s="102">
        <f>F64*AP64</f>
        <v>0</v>
      </c>
      <c r="J64" s="102">
        <f>F64*G64</f>
        <v>0</v>
      </c>
      <c r="K64" s="103" t="s">
        <v>406</v>
      </c>
      <c r="Z64" s="102">
        <f>IF(AQ64="5",BJ64,0)</f>
        <v>0</v>
      </c>
      <c r="AB64" s="102">
        <f>IF(AQ64="1",BH64,0)</f>
        <v>0</v>
      </c>
      <c r="AC64" s="102">
        <f>IF(AQ64="1",BI64,0)</f>
        <v>0</v>
      </c>
      <c r="AD64" s="102">
        <f>IF(AQ64="7",BH64,0)</f>
        <v>0</v>
      </c>
      <c r="AE64" s="102">
        <f>IF(AQ64="7",BI64,0)</f>
        <v>0</v>
      </c>
      <c r="AF64" s="102">
        <f>IF(AQ64="2",BH64,0)</f>
        <v>0</v>
      </c>
      <c r="AG64" s="102">
        <f>IF(AQ64="2",BI64,0)</f>
        <v>0</v>
      </c>
      <c r="AH64" s="102">
        <f>IF(AQ64="0",BJ64,0)</f>
        <v>0</v>
      </c>
      <c r="AI64" s="87" t="s">
        <v>566</v>
      </c>
      <c r="AJ64" s="102">
        <f>IF(AN64=0,J64,0)</f>
        <v>0</v>
      </c>
      <c r="AK64" s="102">
        <f>IF(AN64=12,J64,0)</f>
        <v>0</v>
      </c>
      <c r="AL64" s="102">
        <f>IF(AN64=21,J64,0)</f>
        <v>0</v>
      </c>
      <c r="AN64" s="102">
        <v>21</v>
      </c>
      <c r="AO64" s="102">
        <f>G64*0</f>
        <v>0</v>
      </c>
      <c r="AP64" s="102">
        <f>G64*(1-0)</f>
        <v>0</v>
      </c>
      <c r="AQ64" s="104" t="s">
        <v>831</v>
      </c>
      <c r="AV64" s="102">
        <f>AW64+AX64</f>
        <v>0</v>
      </c>
      <c r="AW64" s="102">
        <f>F64*AO64</f>
        <v>0</v>
      </c>
      <c r="AX64" s="102">
        <f>F64*AP64</f>
        <v>0</v>
      </c>
      <c r="AY64" s="104" t="s">
        <v>396</v>
      </c>
      <c r="AZ64" s="104" t="s">
        <v>631</v>
      </c>
      <c r="BA64" s="87" t="s">
        <v>870</v>
      </c>
      <c r="BC64" s="102">
        <f>AW64+AX64</f>
        <v>0</v>
      </c>
      <c r="BD64" s="102">
        <f>G64/(100-BE64)*100</f>
        <v>0</v>
      </c>
      <c r="BE64" s="102">
        <v>0</v>
      </c>
      <c r="BF64" s="102">
        <f>64</f>
        <v>64</v>
      </c>
      <c r="BH64" s="102">
        <f>F64*AO64</f>
        <v>0</v>
      </c>
      <c r="BI64" s="102">
        <f>F64*AP64</f>
        <v>0</v>
      </c>
      <c r="BJ64" s="102">
        <f>F64*G64</f>
        <v>0</v>
      </c>
      <c r="BK64" s="102"/>
      <c r="BL64" s="102">
        <v>712</v>
      </c>
      <c r="BW64" s="102">
        <v>21</v>
      </c>
    </row>
    <row r="65" spans="1:11" ht="15">
      <c r="A65" s="105"/>
      <c r="C65" s="202" t="s">
        <v>430</v>
      </c>
      <c r="D65" s="202"/>
      <c r="E65" s="202"/>
      <c r="F65" s="202"/>
      <c r="G65" s="202"/>
      <c r="H65" s="202"/>
      <c r="I65" s="202"/>
      <c r="J65" s="202"/>
      <c r="K65" s="203"/>
    </row>
    <row r="66" spans="1:11" ht="15">
      <c r="A66" s="105"/>
      <c r="C66" s="106" t="s">
        <v>913</v>
      </c>
      <c r="D66" s="107" t="s">
        <v>577</v>
      </c>
      <c r="F66" s="108">
        <v>188.35000000000002</v>
      </c>
      <c r="G66" s="215"/>
      <c r="K66" s="109"/>
    </row>
    <row r="67" spans="1:75" ht="15">
      <c r="A67" s="23" t="s">
        <v>579</v>
      </c>
      <c r="B67" s="19" t="s">
        <v>407</v>
      </c>
      <c r="C67" s="135" t="s">
        <v>102</v>
      </c>
      <c r="D67" s="135"/>
      <c r="E67" s="19" t="s">
        <v>415</v>
      </c>
      <c r="F67" s="102">
        <f>'Stavební rozpočet'!F67</f>
        <v>0.24</v>
      </c>
      <c r="G67" s="214">
        <f>'Stavební rozpočet'!G67</f>
        <v>0</v>
      </c>
      <c r="H67" s="102">
        <f>F67*AO67</f>
        <v>0</v>
      </c>
      <c r="I67" s="102">
        <f>F67*AP67</f>
        <v>0</v>
      </c>
      <c r="J67" s="102">
        <f>F67*G67</f>
        <v>0</v>
      </c>
      <c r="K67" s="103" t="s">
        <v>406</v>
      </c>
      <c r="Z67" s="102">
        <f>IF(AQ67="5",BJ67,0)</f>
        <v>0</v>
      </c>
      <c r="AB67" s="102">
        <f>IF(AQ67="1",BH67,0)</f>
        <v>0</v>
      </c>
      <c r="AC67" s="102">
        <f>IF(AQ67="1",BI67,0)</f>
        <v>0</v>
      </c>
      <c r="AD67" s="102">
        <f>IF(AQ67="7",BH67,0)</f>
        <v>0</v>
      </c>
      <c r="AE67" s="102">
        <f>IF(AQ67="7",BI67,0)</f>
        <v>0</v>
      </c>
      <c r="AF67" s="102">
        <f>IF(AQ67="2",BH67,0)</f>
        <v>0</v>
      </c>
      <c r="AG67" s="102">
        <f>IF(AQ67="2",BI67,0)</f>
        <v>0</v>
      </c>
      <c r="AH67" s="102">
        <f>IF(AQ67="0",BJ67,0)</f>
        <v>0</v>
      </c>
      <c r="AI67" s="87" t="s">
        <v>566</v>
      </c>
      <c r="AJ67" s="102">
        <f>IF(AN67=0,J67,0)</f>
        <v>0</v>
      </c>
      <c r="AK67" s="102">
        <f>IF(AN67=12,J67,0)</f>
        <v>0</v>
      </c>
      <c r="AL67" s="102">
        <f>IF(AN67=21,J67,0)</f>
        <v>0</v>
      </c>
      <c r="AN67" s="102">
        <v>21</v>
      </c>
      <c r="AO67" s="102">
        <f>G67*0</f>
        <v>0</v>
      </c>
      <c r="AP67" s="102">
        <f>G67*(1-0)</f>
        <v>0</v>
      </c>
      <c r="AQ67" s="104" t="s">
        <v>461</v>
      </c>
      <c r="AV67" s="102">
        <f>AW67+AX67</f>
        <v>0</v>
      </c>
      <c r="AW67" s="102">
        <f>F67*AO67</f>
        <v>0</v>
      </c>
      <c r="AX67" s="102">
        <f>F67*AP67</f>
        <v>0</v>
      </c>
      <c r="AY67" s="104" t="s">
        <v>396</v>
      </c>
      <c r="AZ67" s="104" t="s">
        <v>631</v>
      </c>
      <c r="BA67" s="87" t="s">
        <v>870</v>
      </c>
      <c r="BC67" s="102">
        <f>AW67+AX67</f>
        <v>0</v>
      </c>
      <c r="BD67" s="102">
        <f>G67/(100-BE67)*100</f>
        <v>0</v>
      </c>
      <c r="BE67" s="102">
        <v>0</v>
      </c>
      <c r="BF67" s="102">
        <f>67</f>
        <v>67</v>
      </c>
      <c r="BH67" s="102">
        <f>F67*AO67</f>
        <v>0</v>
      </c>
      <c r="BI67" s="102">
        <f>F67*AP67</f>
        <v>0</v>
      </c>
      <c r="BJ67" s="102">
        <f>F67*G67</f>
        <v>0</v>
      </c>
      <c r="BK67" s="102"/>
      <c r="BL67" s="102">
        <v>712</v>
      </c>
      <c r="BW67" s="102">
        <v>21</v>
      </c>
    </row>
    <row r="68" spans="1:47" ht="15">
      <c r="A68" s="99" t="s">
        <v>577</v>
      </c>
      <c r="B68" s="22" t="s">
        <v>522</v>
      </c>
      <c r="C68" s="201" t="s">
        <v>881</v>
      </c>
      <c r="D68" s="201"/>
      <c r="E68" s="100" t="s">
        <v>774</v>
      </c>
      <c r="F68" s="100" t="s">
        <v>774</v>
      </c>
      <c r="G68" s="100" t="s">
        <v>774</v>
      </c>
      <c r="H68" s="82">
        <f>SUM(H69:H173)</f>
        <v>0</v>
      </c>
      <c r="I68" s="82">
        <f>SUM(I69:I173)</f>
        <v>0</v>
      </c>
      <c r="J68" s="82">
        <f>SUM(J69:J173)</f>
        <v>0</v>
      </c>
      <c r="K68" s="101" t="s">
        <v>577</v>
      </c>
      <c r="AI68" s="87" t="s">
        <v>566</v>
      </c>
      <c r="AS68" s="82">
        <f>SUM(AJ69:AJ173)</f>
        <v>0</v>
      </c>
      <c r="AT68" s="82">
        <f>SUM(AK69:AK173)</f>
        <v>0</v>
      </c>
      <c r="AU68" s="82">
        <f>SUM(AL69:AL173)</f>
        <v>0</v>
      </c>
    </row>
    <row r="69" spans="1:75" ht="15">
      <c r="A69" s="23" t="s">
        <v>673</v>
      </c>
      <c r="B69" s="19" t="s">
        <v>604</v>
      </c>
      <c r="C69" s="135" t="s">
        <v>876</v>
      </c>
      <c r="D69" s="135"/>
      <c r="E69" s="19" t="s">
        <v>819</v>
      </c>
      <c r="F69" s="102">
        <f>'Stavební rozpočet'!F69</f>
        <v>166.35</v>
      </c>
      <c r="G69" s="214">
        <f>'Stavební rozpočet'!G69</f>
        <v>0</v>
      </c>
      <c r="H69" s="102">
        <f>F69*AO69</f>
        <v>0</v>
      </c>
      <c r="I69" s="102">
        <f>F69*AP69</f>
        <v>0</v>
      </c>
      <c r="J69" s="102">
        <f>F69*G69</f>
        <v>0</v>
      </c>
      <c r="K69" s="103" t="s">
        <v>406</v>
      </c>
      <c r="Z69" s="102">
        <f>IF(AQ69="5",BJ69,0)</f>
        <v>0</v>
      </c>
      <c r="AB69" s="102">
        <f>IF(AQ69="1",BH69,0)</f>
        <v>0</v>
      </c>
      <c r="AC69" s="102">
        <f>IF(AQ69="1",BI69,0)</f>
        <v>0</v>
      </c>
      <c r="AD69" s="102">
        <f>IF(AQ69="7",BH69,0)</f>
        <v>0</v>
      </c>
      <c r="AE69" s="102">
        <f>IF(AQ69="7",BI69,0)</f>
        <v>0</v>
      </c>
      <c r="AF69" s="102">
        <f>IF(AQ69="2",BH69,0)</f>
        <v>0</v>
      </c>
      <c r="AG69" s="102">
        <f>IF(AQ69="2",BI69,0)</f>
        <v>0</v>
      </c>
      <c r="AH69" s="102">
        <f>IF(AQ69="0",BJ69,0)</f>
        <v>0</v>
      </c>
      <c r="AI69" s="87" t="s">
        <v>566</v>
      </c>
      <c r="AJ69" s="102">
        <f>IF(AN69=0,J69,0)</f>
        <v>0</v>
      </c>
      <c r="AK69" s="102">
        <f>IF(AN69=12,J69,0)</f>
        <v>0</v>
      </c>
      <c r="AL69" s="102">
        <f>IF(AN69=21,J69,0)</f>
        <v>0</v>
      </c>
      <c r="AN69" s="102">
        <v>21</v>
      </c>
      <c r="AO69" s="102">
        <f>G69*0</f>
        <v>0</v>
      </c>
      <c r="AP69" s="102">
        <f>G69*(1-0)</f>
        <v>0</v>
      </c>
      <c r="AQ69" s="104" t="s">
        <v>831</v>
      </c>
      <c r="AV69" s="102">
        <f>AW69+AX69</f>
        <v>0</v>
      </c>
      <c r="AW69" s="102">
        <f>F69*AO69</f>
        <v>0</v>
      </c>
      <c r="AX69" s="102">
        <f>F69*AP69</f>
        <v>0</v>
      </c>
      <c r="AY69" s="104" t="s">
        <v>527</v>
      </c>
      <c r="AZ69" s="104" t="s">
        <v>912</v>
      </c>
      <c r="BA69" s="87" t="s">
        <v>870</v>
      </c>
      <c r="BC69" s="102">
        <f>AW69+AX69</f>
        <v>0</v>
      </c>
      <c r="BD69" s="102">
        <f>G69/(100-BE69)*100</f>
        <v>0</v>
      </c>
      <c r="BE69" s="102">
        <v>0</v>
      </c>
      <c r="BF69" s="102">
        <f>69</f>
        <v>69</v>
      </c>
      <c r="BH69" s="102">
        <f>F69*AO69</f>
        <v>0</v>
      </c>
      <c r="BI69" s="102">
        <f>F69*AP69</f>
        <v>0</v>
      </c>
      <c r="BJ69" s="102">
        <f>F69*G69</f>
        <v>0</v>
      </c>
      <c r="BK69" s="102"/>
      <c r="BL69" s="102">
        <v>762</v>
      </c>
      <c r="BW69" s="102">
        <v>21</v>
      </c>
    </row>
    <row r="70" spans="1:11" ht="15">
      <c r="A70" s="105"/>
      <c r="C70" s="106" t="s">
        <v>197</v>
      </c>
      <c r="D70" s="107" t="s">
        <v>226</v>
      </c>
      <c r="F70" s="108">
        <v>151.15</v>
      </c>
      <c r="G70" s="215"/>
      <c r="K70" s="109"/>
    </row>
    <row r="71" spans="1:11" ht="15">
      <c r="A71" s="105"/>
      <c r="C71" s="106" t="s">
        <v>294</v>
      </c>
      <c r="D71" s="107" t="s">
        <v>718</v>
      </c>
      <c r="F71" s="108">
        <v>15.200000000000001</v>
      </c>
      <c r="G71" s="215"/>
      <c r="K71" s="109"/>
    </row>
    <row r="72" spans="1:75" ht="15">
      <c r="A72" s="23" t="s">
        <v>532</v>
      </c>
      <c r="B72" s="19" t="s">
        <v>317</v>
      </c>
      <c r="C72" s="135" t="s">
        <v>811</v>
      </c>
      <c r="D72" s="135"/>
      <c r="E72" s="19" t="s">
        <v>819</v>
      </c>
      <c r="F72" s="102">
        <f>'Stavební rozpočet'!F72</f>
        <v>22</v>
      </c>
      <c r="G72" s="214">
        <f>'Stavební rozpočet'!G72</f>
        <v>0</v>
      </c>
      <c r="H72" s="102">
        <f>F72*AO72</f>
        <v>0</v>
      </c>
      <c r="I72" s="102">
        <f>F72*AP72</f>
        <v>0</v>
      </c>
      <c r="J72" s="102">
        <f>F72*G72</f>
        <v>0</v>
      </c>
      <c r="K72" s="103" t="s">
        <v>406</v>
      </c>
      <c r="Z72" s="102">
        <f>IF(AQ72="5",BJ72,0)</f>
        <v>0</v>
      </c>
      <c r="AB72" s="102">
        <f>IF(AQ72="1",BH72,0)</f>
        <v>0</v>
      </c>
      <c r="AC72" s="102">
        <f>IF(AQ72="1",BI72,0)</f>
        <v>0</v>
      </c>
      <c r="AD72" s="102">
        <f>IF(AQ72="7",BH72,0)</f>
        <v>0</v>
      </c>
      <c r="AE72" s="102">
        <f>IF(AQ72="7",BI72,0)</f>
        <v>0</v>
      </c>
      <c r="AF72" s="102">
        <f>IF(AQ72="2",BH72,0)</f>
        <v>0</v>
      </c>
      <c r="AG72" s="102">
        <f>IF(AQ72="2",BI72,0)</f>
        <v>0</v>
      </c>
      <c r="AH72" s="102">
        <f>IF(AQ72="0",BJ72,0)</f>
        <v>0</v>
      </c>
      <c r="AI72" s="87" t="s">
        <v>566</v>
      </c>
      <c r="AJ72" s="102">
        <f>IF(AN72=0,J72,0)</f>
        <v>0</v>
      </c>
      <c r="AK72" s="102">
        <f>IF(AN72=12,J72,0)</f>
        <v>0</v>
      </c>
      <c r="AL72" s="102">
        <f>IF(AN72=21,J72,0)</f>
        <v>0</v>
      </c>
      <c r="AN72" s="102">
        <v>21</v>
      </c>
      <c r="AO72" s="102">
        <f>G72*0</f>
        <v>0</v>
      </c>
      <c r="AP72" s="102">
        <f>G72*(1-0)</f>
        <v>0</v>
      </c>
      <c r="AQ72" s="104" t="s">
        <v>831</v>
      </c>
      <c r="AV72" s="102">
        <f>AW72+AX72</f>
        <v>0</v>
      </c>
      <c r="AW72" s="102">
        <f>F72*AO72</f>
        <v>0</v>
      </c>
      <c r="AX72" s="102">
        <f>F72*AP72</f>
        <v>0</v>
      </c>
      <c r="AY72" s="104" t="s">
        <v>527</v>
      </c>
      <c r="AZ72" s="104" t="s">
        <v>912</v>
      </c>
      <c r="BA72" s="87" t="s">
        <v>870</v>
      </c>
      <c r="BC72" s="102">
        <f>AW72+AX72</f>
        <v>0</v>
      </c>
      <c r="BD72" s="102">
        <f>G72/(100-BE72)*100</f>
        <v>0</v>
      </c>
      <c r="BE72" s="102">
        <v>0</v>
      </c>
      <c r="BF72" s="102">
        <f>72</f>
        <v>72</v>
      </c>
      <c r="BH72" s="102">
        <f>F72*AO72</f>
        <v>0</v>
      </c>
      <c r="BI72" s="102">
        <f>F72*AP72</f>
        <v>0</v>
      </c>
      <c r="BJ72" s="102">
        <f>F72*G72</f>
        <v>0</v>
      </c>
      <c r="BK72" s="102"/>
      <c r="BL72" s="102">
        <v>762</v>
      </c>
      <c r="BW72" s="102">
        <v>21</v>
      </c>
    </row>
    <row r="73" spans="1:11" ht="15">
      <c r="A73" s="105"/>
      <c r="C73" s="106" t="s">
        <v>352</v>
      </c>
      <c r="D73" s="107" t="s">
        <v>42</v>
      </c>
      <c r="F73" s="108">
        <v>22.000000000000004</v>
      </c>
      <c r="G73" s="215"/>
      <c r="K73" s="109"/>
    </row>
    <row r="74" spans="1:75" ht="15">
      <c r="A74" s="23" t="s">
        <v>51</v>
      </c>
      <c r="B74" s="19" t="s">
        <v>60</v>
      </c>
      <c r="C74" s="135" t="s">
        <v>132</v>
      </c>
      <c r="D74" s="135"/>
      <c r="E74" s="19" t="s">
        <v>819</v>
      </c>
      <c r="F74" s="102">
        <f>'Stavební rozpočet'!F74</f>
        <v>188.35</v>
      </c>
      <c r="G74" s="214">
        <f>'Stavební rozpočet'!G74</f>
        <v>0</v>
      </c>
      <c r="H74" s="102">
        <f>F74*AO74</f>
        <v>0</v>
      </c>
      <c r="I74" s="102">
        <f>F74*AP74</f>
        <v>0</v>
      </c>
      <c r="J74" s="102">
        <f>F74*G74</f>
        <v>0</v>
      </c>
      <c r="K74" s="103" t="s">
        <v>406</v>
      </c>
      <c r="Z74" s="102">
        <f>IF(AQ74="5",BJ74,0)</f>
        <v>0</v>
      </c>
      <c r="AB74" s="102">
        <f>IF(AQ74="1",BH74,0)</f>
        <v>0</v>
      </c>
      <c r="AC74" s="102">
        <f>IF(AQ74="1",BI74,0)</f>
        <v>0</v>
      </c>
      <c r="AD74" s="102">
        <f>IF(AQ74="7",BH74,0)</f>
        <v>0</v>
      </c>
      <c r="AE74" s="102">
        <f>IF(AQ74="7",BI74,0)</f>
        <v>0</v>
      </c>
      <c r="AF74" s="102">
        <f>IF(AQ74="2",BH74,0)</f>
        <v>0</v>
      </c>
      <c r="AG74" s="102">
        <f>IF(AQ74="2",BI74,0)</f>
        <v>0</v>
      </c>
      <c r="AH74" s="102">
        <f>IF(AQ74="0",BJ74,0)</f>
        <v>0</v>
      </c>
      <c r="AI74" s="87" t="s">
        <v>566</v>
      </c>
      <c r="AJ74" s="102">
        <f>IF(AN74=0,J74,0)</f>
        <v>0</v>
      </c>
      <c r="AK74" s="102">
        <f>IF(AN74=12,J74,0)</f>
        <v>0</v>
      </c>
      <c r="AL74" s="102">
        <f>IF(AN74=21,J74,0)</f>
        <v>0</v>
      </c>
      <c r="AN74" s="102">
        <v>21</v>
      </c>
      <c r="AO74" s="102">
        <f>G74*0</f>
        <v>0</v>
      </c>
      <c r="AP74" s="102">
        <f>G74*(1-0)</f>
        <v>0</v>
      </c>
      <c r="AQ74" s="104" t="s">
        <v>831</v>
      </c>
      <c r="AV74" s="102">
        <f>AW74+AX74</f>
        <v>0</v>
      </c>
      <c r="AW74" s="102">
        <f>F74*AO74</f>
        <v>0</v>
      </c>
      <c r="AX74" s="102">
        <f>F74*AP74</f>
        <v>0</v>
      </c>
      <c r="AY74" s="104" t="s">
        <v>527</v>
      </c>
      <c r="AZ74" s="104" t="s">
        <v>912</v>
      </c>
      <c r="BA74" s="87" t="s">
        <v>870</v>
      </c>
      <c r="BC74" s="102">
        <f>AW74+AX74</f>
        <v>0</v>
      </c>
      <c r="BD74" s="102">
        <f>G74/(100-BE74)*100</f>
        <v>0</v>
      </c>
      <c r="BE74" s="102">
        <v>0</v>
      </c>
      <c r="BF74" s="102">
        <f>74</f>
        <v>74</v>
      </c>
      <c r="BH74" s="102">
        <f>F74*AO74</f>
        <v>0</v>
      </c>
      <c r="BI74" s="102">
        <f>F74*AP74</f>
        <v>0</v>
      </c>
      <c r="BJ74" s="102">
        <f>F74*G74</f>
        <v>0</v>
      </c>
      <c r="BK74" s="102"/>
      <c r="BL74" s="102">
        <v>762</v>
      </c>
      <c r="BW74" s="102">
        <v>21</v>
      </c>
    </row>
    <row r="75" spans="1:11" ht="15">
      <c r="A75" s="105"/>
      <c r="C75" s="106" t="s">
        <v>197</v>
      </c>
      <c r="D75" s="107" t="s">
        <v>226</v>
      </c>
      <c r="F75" s="108">
        <v>151.15</v>
      </c>
      <c r="G75" s="215"/>
      <c r="K75" s="109"/>
    </row>
    <row r="76" spans="1:11" ht="15">
      <c r="A76" s="105"/>
      <c r="C76" s="106" t="s">
        <v>294</v>
      </c>
      <c r="D76" s="107" t="s">
        <v>718</v>
      </c>
      <c r="F76" s="108">
        <v>15.200000000000001</v>
      </c>
      <c r="G76" s="215"/>
      <c r="K76" s="109"/>
    </row>
    <row r="77" spans="1:11" ht="15">
      <c r="A77" s="105"/>
      <c r="C77" s="106" t="s">
        <v>352</v>
      </c>
      <c r="D77" s="107" t="s">
        <v>42</v>
      </c>
      <c r="F77" s="108">
        <v>22.000000000000004</v>
      </c>
      <c r="G77" s="215"/>
      <c r="K77" s="109"/>
    </row>
    <row r="78" spans="1:75" ht="15">
      <c r="A78" s="23" t="s">
        <v>587</v>
      </c>
      <c r="B78" s="19" t="s">
        <v>445</v>
      </c>
      <c r="C78" s="135" t="s">
        <v>417</v>
      </c>
      <c r="D78" s="135"/>
      <c r="E78" s="19" t="s">
        <v>819</v>
      </c>
      <c r="F78" s="102">
        <f>'Stavební rozpočet'!F78</f>
        <v>188.35</v>
      </c>
      <c r="G78" s="214">
        <f>'Stavební rozpočet'!G78</f>
        <v>0</v>
      </c>
      <c r="H78" s="102">
        <f>F78*AO78</f>
        <v>0</v>
      </c>
      <c r="I78" s="102">
        <f>F78*AP78</f>
        <v>0</v>
      </c>
      <c r="J78" s="102">
        <f>F78*G78</f>
        <v>0</v>
      </c>
      <c r="K78" s="103" t="s">
        <v>406</v>
      </c>
      <c r="Z78" s="102">
        <f>IF(AQ78="5",BJ78,0)</f>
        <v>0</v>
      </c>
      <c r="AB78" s="102">
        <f>IF(AQ78="1",BH78,0)</f>
        <v>0</v>
      </c>
      <c r="AC78" s="102">
        <f>IF(AQ78="1",BI78,0)</f>
        <v>0</v>
      </c>
      <c r="AD78" s="102">
        <f>IF(AQ78="7",BH78,0)</f>
        <v>0</v>
      </c>
      <c r="AE78" s="102">
        <f>IF(AQ78="7",BI78,0)</f>
        <v>0</v>
      </c>
      <c r="AF78" s="102">
        <f>IF(AQ78="2",BH78,0)</f>
        <v>0</v>
      </c>
      <c r="AG78" s="102">
        <f>IF(AQ78="2",BI78,0)</f>
        <v>0</v>
      </c>
      <c r="AH78" s="102">
        <f>IF(AQ78="0",BJ78,0)</f>
        <v>0</v>
      </c>
      <c r="AI78" s="87" t="s">
        <v>566</v>
      </c>
      <c r="AJ78" s="102">
        <f>IF(AN78=0,J78,0)</f>
        <v>0</v>
      </c>
      <c r="AK78" s="102">
        <f>IF(AN78=12,J78,0)</f>
        <v>0</v>
      </c>
      <c r="AL78" s="102">
        <f>IF(AN78=21,J78,0)</f>
        <v>0</v>
      </c>
      <c r="AN78" s="102">
        <v>21</v>
      </c>
      <c r="AO78" s="102">
        <f>G78*0</f>
        <v>0</v>
      </c>
      <c r="AP78" s="102">
        <f>G78*(1-0)</f>
        <v>0</v>
      </c>
      <c r="AQ78" s="104" t="s">
        <v>831</v>
      </c>
      <c r="AV78" s="102">
        <f>AW78+AX78</f>
        <v>0</v>
      </c>
      <c r="AW78" s="102">
        <f>F78*AO78</f>
        <v>0</v>
      </c>
      <c r="AX78" s="102">
        <f>F78*AP78</f>
        <v>0</v>
      </c>
      <c r="AY78" s="104" t="s">
        <v>527</v>
      </c>
      <c r="AZ78" s="104" t="s">
        <v>912</v>
      </c>
      <c r="BA78" s="87" t="s">
        <v>870</v>
      </c>
      <c r="BC78" s="102">
        <f>AW78+AX78</f>
        <v>0</v>
      </c>
      <c r="BD78" s="102">
        <f>G78/(100-BE78)*100</f>
        <v>0</v>
      </c>
      <c r="BE78" s="102">
        <v>0</v>
      </c>
      <c r="BF78" s="102">
        <f>78</f>
        <v>78</v>
      </c>
      <c r="BH78" s="102">
        <f>F78*AO78</f>
        <v>0</v>
      </c>
      <c r="BI78" s="102">
        <f>F78*AP78</f>
        <v>0</v>
      </c>
      <c r="BJ78" s="102">
        <f>F78*G78</f>
        <v>0</v>
      </c>
      <c r="BK78" s="102"/>
      <c r="BL78" s="102">
        <v>762</v>
      </c>
      <c r="BW78" s="102">
        <v>21</v>
      </c>
    </row>
    <row r="79" spans="1:11" ht="15">
      <c r="A79" s="105"/>
      <c r="C79" s="106" t="s">
        <v>197</v>
      </c>
      <c r="D79" s="107" t="s">
        <v>226</v>
      </c>
      <c r="F79" s="108">
        <v>151.15</v>
      </c>
      <c r="G79" s="215"/>
      <c r="K79" s="109"/>
    </row>
    <row r="80" spans="1:11" ht="15">
      <c r="A80" s="105"/>
      <c r="C80" s="106" t="s">
        <v>294</v>
      </c>
      <c r="D80" s="107" t="s">
        <v>718</v>
      </c>
      <c r="F80" s="108">
        <v>15.200000000000001</v>
      </c>
      <c r="G80" s="215"/>
      <c r="K80" s="109"/>
    </row>
    <row r="81" spans="1:11" ht="15">
      <c r="A81" s="105"/>
      <c r="C81" s="106" t="s">
        <v>352</v>
      </c>
      <c r="D81" s="107" t="s">
        <v>42</v>
      </c>
      <c r="F81" s="108">
        <v>22.000000000000004</v>
      </c>
      <c r="G81" s="215"/>
      <c r="K81" s="109"/>
    </row>
    <row r="82" spans="1:75" ht="15">
      <c r="A82" s="110" t="s">
        <v>798</v>
      </c>
      <c r="B82" s="62" t="s">
        <v>32</v>
      </c>
      <c r="C82" s="204" t="s">
        <v>651</v>
      </c>
      <c r="D82" s="204"/>
      <c r="E82" s="62" t="s">
        <v>807</v>
      </c>
      <c r="F82" s="111">
        <f>'Stavební rozpočet'!F82</f>
        <v>6.93</v>
      </c>
      <c r="G82" s="216">
        <f>'Stavební rozpočet'!G82</f>
        <v>0</v>
      </c>
      <c r="H82" s="111">
        <f>F82*AO82</f>
        <v>0</v>
      </c>
      <c r="I82" s="111">
        <f>F82*AP82</f>
        <v>0</v>
      </c>
      <c r="J82" s="111">
        <f>F82*G82</f>
        <v>0</v>
      </c>
      <c r="K82" s="112" t="s">
        <v>406</v>
      </c>
      <c r="Z82" s="102">
        <f>IF(AQ82="5",BJ82,0)</f>
        <v>0</v>
      </c>
      <c r="AB82" s="102">
        <f>IF(AQ82="1",BH82,0)</f>
        <v>0</v>
      </c>
      <c r="AC82" s="102">
        <f>IF(AQ82="1",BI82,0)</f>
        <v>0</v>
      </c>
      <c r="AD82" s="102">
        <f>IF(AQ82="7",BH82,0)</f>
        <v>0</v>
      </c>
      <c r="AE82" s="102">
        <f>IF(AQ82="7",BI82,0)</f>
        <v>0</v>
      </c>
      <c r="AF82" s="102">
        <f>IF(AQ82="2",BH82,0)</f>
        <v>0</v>
      </c>
      <c r="AG82" s="102">
        <f>IF(AQ82="2",BI82,0)</f>
        <v>0</v>
      </c>
      <c r="AH82" s="102">
        <f>IF(AQ82="0",BJ82,0)</f>
        <v>0</v>
      </c>
      <c r="AI82" s="87" t="s">
        <v>566</v>
      </c>
      <c r="AJ82" s="111">
        <f>IF(AN82=0,J82,0)</f>
        <v>0</v>
      </c>
      <c r="AK82" s="111">
        <f>IF(AN82=12,J82,0)</f>
        <v>0</v>
      </c>
      <c r="AL82" s="111">
        <f>IF(AN82=21,J82,0)</f>
        <v>0</v>
      </c>
      <c r="AN82" s="102">
        <v>21</v>
      </c>
      <c r="AO82" s="102">
        <f>G82*1</f>
        <v>0</v>
      </c>
      <c r="AP82" s="102">
        <f>G82*(1-1)</f>
        <v>0</v>
      </c>
      <c r="AQ82" s="113" t="s">
        <v>831</v>
      </c>
      <c r="AV82" s="102">
        <f>AW82+AX82</f>
        <v>0</v>
      </c>
      <c r="AW82" s="102">
        <f>F82*AO82</f>
        <v>0</v>
      </c>
      <c r="AX82" s="102">
        <f>F82*AP82</f>
        <v>0</v>
      </c>
      <c r="AY82" s="104" t="s">
        <v>527</v>
      </c>
      <c r="AZ82" s="104" t="s">
        <v>912</v>
      </c>
      <c r="BA82" s="87" t="s">
        <v>870</v>
      </c>
      <c r="BC82" s="102">
        <f>AW82+AX82</f>
        <v>0</v>
      </c>
      <c r="BD82" s="102">
        <f>G82/(100-BE82)*100</f>
        <v>0</v>
      </c>
      <c r="BE82" s="102">
        <v>0</v>
      </c>
      <c r="BF82" s="102">
        <f>82</f>
        <v>82</v>
      </c>
      <c r="BH82" s="111">
        <f>F82*AO82</f>
        <v>0</v>
      </c>
      <c r="BI82" s="111">
        <f>F82*AP82</f>
        <v>0</v>
      </c>
      <c r="BJ82" s="111">
        <f>F82*G82</f>
        <v>0</v>
      </c>
      <c r="BK82" s="111"/>
      <c r="BL82" s="102">
        <v>762</v>
      </c>
      <c r="BW82" s="102">
        <v>21</v>
      </c>
    </row>
    <row r="83" spans="1:11" ht="15">
      <c r="A83" s="105"/>
      <c r="C83" s="106" t="s">
        <v>827</v>
      </c>
      <c r="D83" s="107" t="s">
        <v>226</v>
      </c>
      <c r="F83" s="108">
        <v>4.840000000000001</v>
      </c>
      <c r="G83" s="215"/>
      <c r="K83" s="109"/>
    </row>
    <row r="84" spans="1:11" ht="15">
      <c r="A84" s="105"/>
      <c r="C84" s="106" t="s">
        <v>216</v>
      </c>
      <c r="D84" s="107" t="s">
        <v>718</v>
      </c>
      <c r="F84" s="108">
        <v>0.49000000000000005</v>
      </c>
      <c r="G84" s="215"/>
      <c r="K84" s="109"/>
    </row>
    <row r="85" spans="1:11" ht="15">
      <c r="A85" s="105"/>
      <c r="C85" s="106" t="s">
        <v>138</v>
      </c>
      <c r="D85" s="107" t="s">
        <v>42</v>
      </c>
      <c r="F85" s="108">
        <v>0.7000000000000001</v>
      </c>
      <c r="G85" s="215"/>
      <c r="K85" s="109"/>
    </row>
    <row r="86" spans="1:11" ht="15">
      <c r="A86" s="105"/>
      <c r="C86" s="106" t="s">
        <v>274</v>
      </c>
      <c r="D86" s="107" t="s">
        <v>577</v>
      </c>
      <c r="F86" s="108">
        <v>0.9</v>
      </c>
      <c r="G86" s="215"/>
      <c r="K86" s="109"/>
    </row>
    <row r="87" spans="1:75" ht="15">
      <c r="A87" s="23" t="s">
        <v>403</v>
      </c>
      <c r="B87" s="19" t="s">
        <v>248</v>
      </c>
      <c r="C87" s="135" t="s">
        <v>426</v>
      </c>
      <c r="D87" s="135"/>
      <c r="E87" s="19" t="s">
        <v>819</v>
      </c>
      <c r="F87" s="102">
        <f>'Stavební rozpočet'!F87</f>
        <v>166.35</v>
      </c>
      <c r="G87" s="214">
        <f>'Stavební rozpočet'!G87</f>
        <v>0</v>
      </c>
      <c r="H87" s="102">
        <f>F87*AO87</f>
        <v>0</v>
      </c>
      <c r="I87" s="102">
        <f>F87*AP87</f>
        <v>0</v>
      </c>
      <c r="J87" s="102">
        <f>F87*G87</f>
        <v>0</v>
      </c>
      <c r="K87" s="103" t="s">
        <v>406</v>
      </c>
      <c r="Z87" s="102">
        <f>IF(AQ87="5",BJ87,0)</f>
        <v>0</v>
      </c>
      <c r="AB87" s="102">
        <f>IF(AQ87="1",BH87,0)</f>
        <v>0</v>
      </c>
      <c r="AC87" s="102">
        <f>IF(AQ87="1",BI87,0)</f>
        <v>0</v>
      </c>
      <c r="AD87" s="102">
        <f>IF(AQ87="7",BH87,0)</f>
        <v>0</v>
      </c>
      <c r="AE87" s="102">
        <f>IF(AQ87="7",BI87,0)</f>
        <v>0</v>
      </c>
      <c r="AF87" s="102">
        <f>IF(AQ87="2",BH87,0)</f>
        <v>0</v>
      </c>
      <c r="AG87" s="102">
        <f>IF(AQ87="2",BI87,0)</f>
        <v>0</v>
      </c>
      <c r="AH87" s="102">
        <f>IF(AQ87="0",BJ87,0)</f>
        <v>0</v>
      </c>
      <c r="AI87" s="87" t="s">
        <v>566</v>
      </c>
      <c r="AJ87" s="102">
        <f>IF(AN87=0,J87,0)</f>
        <v>0</v>
      </c>
      <c r="AK87" s="102">
        <f>IF(AN87=12,J87,0)</f>
        <v>0</v>
      </c>
      <c r="AL87" s="102">
        <f>IF(AN87=21,J87,0)</f>
        <v>0</v>
      </c>
      <c r="AN87" s="102">
        <v>21</v>
      </c>
      <c r="AO87" s="102">
        <f>G87*0.578608695652174</f>
        <v>0</v>
      </c>
      <c r="AP87" s="102">
        <f>G87*(1-0.578608695652174)</f>
        <v>0</v>
      </c>
      <c r="AQ87" s="104" t="s">
        <v>831</v>
      </c>
      <c r="AV87" s="102">
        <f>AW87+AX87</f>
        <v>0</v>
      </c>
      <c r="AW87" s="102">
        <f>F87*AO87</f>
        <v>0</v>
      </c>
      <c r="AX87" s="102">
        <f>F87*AP87</f>
        <v>0</v>
      </c>
      <c r="AY87" s="104" t="s">
        <v>527</v>
      </c>
      <c r="AZ87" s="104" t="s">
        <v>912</v>
      </c>
      <c r="BA87" s="87" t="s">
        <v>870</v>
      </c>
      <c r="BC87" s="102">
        <f>AW87+AX87</f>
        <v>0</v>
      </c>
      <c r="BD87" s="102">
        <f>G87/(100-BE87)*100</f>
        <v>0</v>
      </c>
      <c r="BE87" s="102">
        <v>0</v>
      </c>
      <c r="BF87" s="102">
        <f>87</f>
        <v>87</v>
      </c>
      <c r="BH87" s="102">
        <f>F87*AO87</f>
        <v>0</v>
      </c>
      <c r="BI87" s="102">
        <f>F87*AP87</f>
        <v>0</v>
      </c>
      <c r="BJ87" s="102">
        <f>F87*G87</f>
        <v>0</v>
      </c>
      <c r="BK87" s="102"/>
      <c r="BL87" s="102">
        <v>762</v>
      </c>
      <c r="BW87" s="102">
        <v>21</v>
      </c>
    </row>
    <row r="88" spans="1:11" ht="15">
      <c r="A88" s="105"/>
      <c r="C88" s="202" t="s">
        <v>392</v>
      </c>
      <c r="D88" s="202"/>
      <c r="E88" s="202"/>
      <c r="F88" s="202"/>
      <c r="G88" s="202"/>
      <c r="H88" s="202"/>
      <c r="I88" s="202"/>
      <c r="J88" s="202"/>
      <c r="K88" s="203"/>
    </row>
    <row r="89" spans="1:11" ht="15">
      <c r="A89" s="105"/>
      <c r="C89" s="106" t="s">
        <v>197</v>
      </c>
      <c r="D89" s="107" t="s">
        <v>226</v>
      </c>
      <c r="F89" s="108">
        <v>151.15</v>
      </c>
      <c r="G89" s="215"/>
      <c r="K89" s="109"/>
    </row>
    <row r="90" spans="1:11" ht="15">
      <c r="A90" s="105"/>
      <c r="C90" s="106" t="s">
        <v>294</v>
      </c>
      <c r="D90" s="107" t="s">
        <v>718</v>
      </c>
      <c r="F90" s="108">
        <v>15.200000000000001</v>
      </c>
      <c r="G90" s="215"/>
      <c r="K90" s="109"/>
    </row>
    <row r="91" spans="1:75" ht="15">
      <c r="A91" s="23" t="s">
        <v>93</v>
      </c>
      <c r="B91" s="19" t="s">
        <v>860</v>
      </c>
      <c r="C91" s="135" t="s">
        <v>517</v>
      </c>
      <c r="D91" s="135"/>
      <c r="E91" s="19" t="s">
        <v>224</v>
      </c>
      <c r="F91" s="102">
        <f>'Stavební rozpočet'!F91</f>
        <v>48</v>
      </c>
      <c r="G91" s="214">
        <f>'Stavební rozpočet'!G91</f>
        <v>0</v>
      </c>
      <c r="H91" s="102">
        <f>F91*AO91</f>
        <v>0</v>
      </c>
      <c r="I91" s="102">
        <f>F91*AP91</f>
        <v>0</v>
      </c>
      <c r="J91" s="102">
        <f>F91*G91</f>
        <v>0</v>
      </c>
      <c r="K91" s="103" t="s">
        <v>406</v>
      </c>
      <c r="Z91" s="102">
        <f>IF(AQ91="5",BJ91,0)</f>
        <v>0</v>
      </c>
      <c r="AB91" s="102">
        <f>IF(AQ91="1",BH91,0)</f>
        <v>0</v>
      </c>
      <c r="AC91" s="102">
        <f>IF(AQ91="1",BI91,0)</f>
        <v>0</v>
      </c>
      <c r="AD91" s="102">
        <f>IF(AQ91="7",BH91,0)</f>
        <v>0</v>
      </c>
      <c r="AE91" s="102">
        <f>IF(AQ91="7",BI91,0)</f>
        <v>0</v>
      </c>
      <c r="AF91" s="102">
        <f>IF(AQ91="2",BH91,0)</f>
        <v>0</v>
      </c>
      <c r="AG91" s="102">
        <f>IF(AQ91="2",BI91,0)</f>
        <v>0</v>
      </c>
      <c r="AH91" s="102">
        <f>IF(AQ91="0",BJ91,0)</f>
        <v>0</v>
      </c>
      <c r="AI91" s="87" t="s">
        <v>566</v>
      </c>
      <c r="AJ91" s="102">
        <f>IF(AN91=0,J91,0)</f>
        <v>0</v>
      </c>
      <c r="AK91" s="102">
        <f>IF(AN91=12,J91,0)</f>
        <v>0</v>
      </c>
      <c r="AL91" s="102">
        <f>IF(AN91=21,J91,0)</f>
        <v>0</v>
      </c>
      <c r="AN91" s="102">
        <v>21</v>
      </c>
      <c r="AO91" s="102">
        <f>G91*0.0548027842227378</f>
        <v>0</v>
      </c>
      <c r="AP91" s="102">
        <f>G91*(1-0.0548027842227378)</f>
        <v>0</v>
      </c>
      <c r="AQ91" s="104" t="s">
        <v>831</v>
      </c>
      <c r="AV91" s="102">
        <f>AW91+AX91</f>
        <v>0</v>
      </c>
      <c r="AW91" s="102">
        <f>F91*AO91</f>
        <v>0</v>
      </c>
      <c r="AX91" s="102">
        <f>F91*AP91</f>
        <v>0</v>
      </c>
      <c r="AY91" s="104" t="s">
        <v>527</v>
      </c>
      <c r="AZ91" s="104" t="s">
        <v>912</v>
      </c>
      <c r="BA91" s="87" t="s">
        <v>870</v>
      </c>
      <c r="BC91" s="102">
        <f>AW91+AX91</f>
        <v>0</v>
      </c>
      <c r="BD91" s="102">
        <f>G91/(100-BE91)*100</f>
        <v>0</v>
      </c>
      <c r="BE91" s="102">
        <v>0</v>
      </c>
      <c r="BF91" s="102">
        <f>91</f>
        <v>91</v>
      </c>
      <c r="BH91" s="102">
        <f>F91*AO91</f>
        <v>0</v>
      </c>
      <c r="BI91" s="102">
        <f>F91*AP91</f>
        <v>0</v>
      </c>
      <c r="BJ91" s="102">
        <f>F91*G91</f>
        <v>0</v>
      </c>
      <c r="BK91" s="102"/>
      <c r="BL91" s="102">
        <v>762</v>
      </c>
      <c r="BW91" s="102">
        <v>21</v>
      </c>
    </row>
    <row r="92" spans="1:11" ht="15">
      <c r="A92" s="105"/>
      <c r="C92" s="106" t="s">
        <v>526</v>
      </c>
      <c r="D92" s="107" t="s">
        <v>577</v>
      </c>
      <c r="F92" s="108">
        <v>48.00000000000001</v>
      </c>
      <c r="G92" s="215"/>
      <c r="K92" s="109"/>
    </row>
    <row r="93" spans="1:75" ht="15">
      <c r="A93" s="110" t="s">
        <v>223</v>
      </c>
      <c r="B93" s="62" t="s">
        <v>780</v>
      </c>
      <c r="C93" s="204" t="s">
        <v>28</v>
      </c>
      <c r="D93" s="204"/>
      <c r="E93" s="62" t="s">
        <v>415</v>
      </c>
      <c r="F93" s="111">
        <f>'Stavební rozpočet'!F93</f>
        <v>0.14</v>
      </c>
      <c r="G93" s="216">
        <f>'Stavební rozpočet'!G93</f>
        <v>0</v>
      </c>
      <c r="H93" s="111">
        <f>F93*AO93</f>
        <v>0</v>
      </c>
      <c r="I93" s="111">
        <f>F93*AP93</f>
        <v>0</v>
      </c>
      <c r="J93" s="111">
        <f>F93*G93</f>
        <v>0</v>
      </c>
      <c r="K93" s="112" t="s">
        <v>406</v>
      </c>
      <c r="Z93" s="102">
        <f>IF(AQ93="5",BJ93,0)</f>
        <v>0</v>
      </c>
      <c r="AB93" s="102">
        <f>IF(AQ93="1",BH93,0)</f>
        <v>0</v>
      </c>
      <c r="AC93" s="102">
        <f>IF(AQ93="1",BI93,0)</f>
        <v>0</v>
      </c>
      <c r="AD93" s="102">
        <f>IF(AQ93="7",BH93,0)</f>
        <v>0</v>
      </c>
      <c r="AE93" s="102">
        <f>IF(AQ93="7",BI93,0)</f>
        <v>0</v>
      </c>
      <c r="AF93" s="102">
        <f>IF(AQ93="2",BH93,0)</f>
        <v>0</v>
      </c>
      <c r="AG93" s="102">
        <f>IF(AQ93="2",BI93,0)</f>
        <v>0</v>
      </c>
      <c r="AH93" s="102">
        <f>IF(AQ93="0",BJ93,0)</f>
        <v>0</v>
      </c>
      <c r="AI93" s="87" t="s">
        <v>566</v>
      </c>
      <c r="AJ93" s="111">
        <f>IF(AN93=0,J93,0)</f>
        <v>0</v>
      </c>
      <c r="AK93" s="111">
        <f>IF(AN93=12,J93,0)</f>
        <v>0</v>
      </c>
      <c r="AL93" s="111">
        <f>IF(AN93=21,J93,0)</f>
        <v>0</v>
      </c>
      <c r="AN93" s="102">
        <v>21</v>
      </c>
      <c r="AO93" s="102">
        <f>G93*1</f>
        <v>0</v>
      </c>
      <c r="AP93" s="102">
        <f>G93*(1-1)</f>
        <v>0</v>
      </c>
      <c r="AQ93" s="113" t="s">
        <v>831</v>
      </c>
      <c r="AV93" s="102">
        <f>AW93+AX93</f>
        <v>0</v>
      </c>
      <c r="AW93" s="102">
        <f>F93*AO93</f>
        <v>0</v>
      </c>
      <c r="AX93" s="102">
        <f>F93*AP93</f>
        <v>0</v>
      </c>
      <c r="AY93" s="104" t="s">
        <v>527</v>
      </c>
      <c r="AZ93" s="104" t="s">
        <v>912</v>
      </c>
      <c r="BA93" s="87" t="s">
        <v>870</v>
      </c>
      <c r="BC93" s="102">
        <f>AW93+AX93</f>
        <v>0</v>
      </c>
      <c r="BD93" s="102">
        <f>G93/(100-BE93)*100</f>
        <v>0</v>
      </c>
      <c r="BE93" s="102">
        <v>0</v>
      </c>
      <c r="BF93" s="102">
        <f>93</f>
        <v>93</v>
      </c>
      <c r="BH93" s="111">
        <f>F93*AO93</f>
        <v>0</v>
      </c>
      <c r="BI93" s="111">
        <f>F93*AP93</f>
        <v>0</v>
      </c>
      <c r="BJ93" s="111">
        <f>F93*G93</f>
        <v>0</v>
      </c>
      <c r="BK93" s="111"/>
      <c r="BL93" s="102">
        <v>762</v>
      </c>
      <c r="BW93" s="102">
        <v>21</v>
      </c>
    </row>
    <row r="94" spans="1:11" ht="15">
      <c r="A94" s="105"/>
      <c r="C94" s="106" t="s">
        <v>329</v>
      </c>
      <c r="D94" s="107" t="s">
        <v>577</v>
      </c>
      <c r="F94" s="108">
        <v>0.14</v>
      </c>
      <c r="G94" s="215"/>
      <c r="K94" s="109"/>
    </row>
    <row r="95" spans="1:75" ht="15">
      <c r="A95" s="23" t="s">
        <v>123</v>
      </c>
      <c r="B95" s="19" t="s">
        <v>151</v>
      </c>
      <c r="C95" s="135" t="s">
        <v>440</v>
      </c>
      <c r="D95" s="135"/>
      <c r="E95" s="19" t="s">
        <v>807</v>
      </c>
      <c r="F95" s="102">
        <f>'Stavební rozpočet'!F95</f>
        <v>15.68</v>
      </c>
      <c r="G95" s="214">
        <f>'Stavební rozpočet'!G95</f>
        <v>0</v>
      </c>
      <c r="H95" s="102">
        <f>F95*AO95</f>
        <v>0</v>
      </c>
      <c r="I95" s="102">
        <f>F95*AP95</f>
        <v>0</v>
      </c>
      <c r="J95" s="102">
        <f>F95*G95</f>
        <v>0</v>
      </c>
      <c r="K95" s="103" t="s">
        <v>406</v>
      </c>
      <c r="Z95" s="102">
        <f>IF(AQ95="5",BJ95,0)</f>
        <v>0</v>
      </c>
      <c r="AB95" s="102">
        <f>IF(AQ95="1",BH95,0)</f>
        <v>0</v>
      </c>
      <c r="AC95" s="102">
        <f>IF(AQ95="1",BI95,0)</f>
        <v>0</v>
      </c>
      <c r="AD95" s="102">
        <f>IF(AQ95="7",BH95,0)</f>
        <v>0</v>
      </c>
      <c r="AE95" s="102">
        <f>IF(AQ95="7",BI95,0)</f>
        <v>0</v>
      </c>
      <c r="AF95" s="102">
        <f>IF(AQ95="2",BH95,0)</f>
        <v>0</v>
      </c>
      <c r="AG95" s="102">
        <f>IF(AQ95="2",BI95,0)</f>
        <v>0</v>
      </c>
      <c r="AH95" s="102">
        <f>IF(AQ95="0",BJ95,0)</f>
        <v>0</v>
      </c>
      <c r="AI95" s="87" t="s">
        <v>566</v>
      </c>
      <c r="AJ95" s="102">
        <f>IF(AN95=0,J95,0)</f>
        <v>0</v>
      </c>
      <c r="AK95" s="102">
        <f>IF(AN95=12,J95,0)</f>
        <v>0</v>
      </c>
      <c r="AL95" s="102">
        <f>IF(AN95=21,J95,0)</f>
        <v>0</v>
      </c>
      <c r="AN95" s="102">
        <v>21</v>
      </c>
      <c r="AO95" s="102">
        <f>G95*1</f>
        <v>0</v>
      </c>
      <c r="AP95" s="102">
        <f>G95*(1-1)</f>
        <v>0</v>
      </c>
      <c r="AQ95" s="104" t="s">
        <v>831</v>
      </c>
      <c r="AV95" s="102">
        <f>AW95+AX95</f>
        <v>0</v>
      </c>
      <c r="AW95" s="102">
        <f>F95*AO95</f>
        <v>0</v>
      </c>
      <c r="AX95" s="102">
        <f>F95*AP95</f>
        <v>0</v>
      </c>
      <c r="AY95" s="104" t="s">
        <v>527</v>
      </c>
      <c r="AZ95" s="104" t="s">
        <v>912</v>
      </c>
      <c r="BA95" s="87" t="s">
        <v>870</v>
      </c>
      <c r="BC95" s="102">
        <f>AW95+AX95</f>
        <v>0</v>
      </c>
      <c r="BD95" s="102">
        <f>G95/(100-BE95)*100</f>
        <v>0</v>
      </c>
      <c r="BE95" s="102">
        <v>0</v>
      </c>
      <c r="BF95" s="102">
        <f>95</f>
        <v>95</v>
      </c>
      <c r="BH95" s="102">
        <f>F95*AO95</f>
        <v>0</v>
      </c>
      <c r="BI95" s="102">
        <f>F95*AP95</f>
        <v>0</v>
      </c>
      <c r="BJ95" s="102">
        <f>F95*G95</f>
        <v>0</v>
      </c>
      <c r="BK95" s="102"/>
      <c r="BL95" s="102">
        <v>762</v>
      </c>
      <c r="BW95" s="102">
        <v>21</v>
      </c>
    </row>
    <row r="96" spans="1:11" ht="15">
      <c r="A96" s="105"/>
      <c r="C96" s="106" t="s">
        <v>629</v>
      </c>
      <c r="D96" s="107" t="s">
        <v>162</v>
      </c>
      <c r="F96" s="108">
        <v>15.680000000000001</v>
      </c>
      <c r="G96" s="215"/>
      <c r="K96" s="109"/>
    </row>
    <row r="97" spans="1:75" ht="15">
      <c r="A97" s="23" t="s">
        <v>815</v>
      </c>
      <c r="B97" s="19" t="s">
        <v>312</v>
      </c>
      <c r="C97" s="135" t="s">
        <v>617</v>
      </c>
      <c r="D97" s="135"/>
      <c r="E97" s="19" t="s">
        <v>819</v>
      </c>
      <c r="F97" s="102">
        <f>'Stavební rozpočet'!F97</f>
        <v>100</v>
      </c>
      <c r="G97" s="214">
        <f>'Stavební rozpočet'!G97</f>
        <v>0</v>
      </c>
      <c r="H97" s="102">
        <f>F97*AO97</f>
        <v>0</v>
      </c>
      <c r="I97" s="102">
        <f>F97*AP97</f>
        <v>0</v>
      </c>
      <c r="J97" s="102">
        <f>F97*G97</f>
        <v>0</v>
      </c>
      <c r="K97" s="103" t="s">
        <v>406</v>
      </c>
      <c r="Z97" s="102">
        <f>IF(AQ97="5",BJ97,0)</f>
        <v>0</v>
      </c>
      <c r="AB97" s="102">
        <f>IF(AQ97="1",BH97,0)</f>
        <v>0</v>
      </c>
      <c r="AC97" s="102">
        <f>IF(AQ97="1",BI97,0)</f>
        <v>0</v>
      </c>
      <c r="AD97" s="102">
        <f>IF(AQ97="7",BH97,0)</f>
        <v>0</v>
      </c>
      <c r="AE97" s="102">
        <f>IF(AQ97="7",BI97,0)</f>
        <v>0</v>
      </c>
      <c r="AF97" s="102">
        <f>IF(AQ97="2",BH97,0)</f>
        <v>0</v>
      </c>
      <c r="AG97" s="102">
        <f>IF(AQ97="2",BI97,0)</f>
        <v>0</v>
      </c>
      <c r="AH97" s="102">
        <f>IF(AQ97="0",BJ97,0)</f>
        <v>0</v>
      </c>
      <c r="AI97" s="87" t="s">
        <v>566</v>
      </c>
      <c r="AJ97" s="102">
        <f>IF(AN97=0,J97,0)</f>
        <v>0</v>
      </c>
      <c r="AK97" s="102">
        <f>IF(AN97=12,J97,0)</f>
        <v>0</v>
      </c>
      <c r="AL97" s="102">
        <f>IF(AN97=21,J97,0)</f>
        <v>0</v>
      </c>
      <c r="AN97" s="102">
        <v>21</v>
      </c>
      <c r="AO97" s="102">
        <f>G97*0.0181621621621622</f>
        <v>0</v>
      </c>
      <c r="AP97" s="102">
        <f>G97*(1-0.0181621621621622)</f>
        <v>0</v>
      </c>
      <c r="AQ97" s="104" t="s">
        <v>831</v>
      </c>
      <c r="AV97" s="102">
        <f>AW97+AX97</f>
        <v>0</v>
      </c>
      <c r="AW97" s="102">
        <f>F97*AO97</f>
        <v>0</v>
      </c>
      <c r="AX97" s="102">
        <f>F97*AP97</f>
        <v>0</v>
      </c>
      <c r="AY97" s="104" t="s">
        <v>527</v>
      </c>
      <c r="AZ97" s="104" t="s">
        <v>912</v>
      </c>
      <c r="BA97" s="87" t="s">
        <v>870</v>
      </c>
      <c r="BC97" s="102">
        <f>AW97+AX97</f>
        <v>0</v>
      </c>
      <c r="BD97" s="102">
        <f>G97/(100-BE97)*100</f>
        <v>0</v>
      </c>
      <c r="BE97" s="102">
        <v>0</v>
      </c>
      <c r="BF97" s="102">
        <f>97</f>
        <v>97</v>
      </c>
      <c r="BH97" s="102">
        <f>F97*AO97</f>
        <v>0</v>
      </c>
      <c r="BI97" s="102">
        <f>F97*AP97</f>
        <v>0</v>
      </c>
      <c r="BJ97" s="102">
        <f>F97*G97</f>
        <v>0</v>
      </c>
      <c r="BK97" s="102"/>
      <c r="BL97" s="102">
        <v>762</v>
      </c>
      <c r="BW97" s="102">
        <v>21</v>
      </c>
    </row>
    <row r="98" spans="1:11" ht="15">
      <c r="A98" s="105"/>
      <c r="C98" s="106" t="s">
        <v>691</v>
      </c>
      <c r="D98" s="107" t="s">
        <v>577</v>
      </c>
      <c r="F98" s="108">
        <v>100.00000000000001</v>
      </c>
      <c r="G98" s="215"/>
      <c r="K98" s="109"/>
    </row>
    <row r="99" spans="1:75" ht="15">
      <c r="A99" s="110" t="s">
        <v>899</v>
      </c>
      <c r="B99" s="62" t="s">
        <v>206</v>
      </c>
      <c r="C99" s="204" t="s">
        <v>165</v>
      </c>
      <c r="D99" s="204"/>
      <c r="E99" s="62" t="s">
        <v>819</v>
      </c>
      <c r="F99" s="111">
        <f>'Stavební rozpočet'!F99</f>
        <v>115</v>
      </c>
      <c r="G99" s="216">
        <f>'Stavební rozpočet'!G99</f>
        <v>0</v>
      </c>
      <c r="H99" s="111">
        <f>F99*AO99</f>
        <v>0</v>
      </c>
      <c r="I99" s="111">
        <f>F99*AP99</f>
        <v>0</v>
      </c>
      <c r="J99" s="111">
        <f>F99*G99</f>
        <v>0</v>
      </c>
      <c r="K99" s="112" t="s">
        <v>406</v>
      </c>
      <c r="Z99" s="102">
        <f>IF(AQ99="5",BJ99,0)</f>
        <v>0</v>
      </c>
      <c r="AB99" s="102">
        <f>IF(AQ99="1",BH99,0)</f>
        <v>0</v>
      </c>
      <c r="AC99" s="102">
        <f>IF(AQ99="1",BI99,0)</f>
        <v>0</v>
      </c>
      <c r="AD99" s="102">
        <f>IF(AQ99="7",BH99,0)</f>
        <v>0</v>
      </c>
      <c r="AE99" s="102">
        <f>IF(AQ99="7",BI99,0)</f>
        <v>0</v>
      </c>
      <c r="AF99" s="102">
        <f>IF(AQ99="2",BH99,0)</f>
        <v>0</v>
      </c>
      <c r="AG99" s="102">
        <f>IF(AQ99="2",BI99,0)</f>
        <v>0</v>
      </c>
      <c r="AH99" s="102">
        <f>IF(AQ99="0",BJ99,0)</f>
        <v>0</v>
      </c>
      <c r="AI99" s="87" t="s">
        <v>566</v>
      </c>
      <c r="AJ99" s="111">
        <f>IF(AN99=0,J99,0)</f>
        <v>0</v>
      </c>
      <c r="AK99" s="111">
        <f>IF(AN99=12,J99,0)</f>
        <v>0</v>
      </c>
      <c r="AL99" s="111">
        <f>IF(AN99=21,J99,0)</f>
        <v>0</v>
      </c>
      <c r="AN99" s="102">
        <v>21</v>
      </c>
      <c r="AO99" s="102">
        <f>G99*1</f>
        <v>0</v>
      </c>
      <c r="AP99" s="102">
        <f>G99*(1-1)</f>
        <v>0</v>
      </c>
      <c r="AQ99" s="113" t="s">
        <v>831</v>
      </c>
      <c r="AV99" s="102">
        <f>AW99+AX99</f>
        <v>0</v>
      </c>
      <c r="AW99" s="102">
        <f>F99*AO99</f>
        <v>0</v>
      </c>
      <c r="AX99" s="102">
        <f>F99*AP99</f>
        <v>0</v>
      </c>
      <c r="AY99" s="104" t="s">
        <v>527</v>
      </c>
      <c r="AZ99" s="104" t="s">
        <v>912</v>
      </c>
      <c r="BA99" s="87" t="s">
        <v>870</v>
      </c>
      <c r="BC99" s="102">
        <f>AW99+AX99</f>
        <v>0</v>
      </c>
      <c r="BD99" s="102">
        <f>G99/(100-BE99)*100</f>
        <v>0</v>
      </c>
      <c r="BE99" s="102">
        <v>0</v>
      </c>
      <c r="BF99" s="102">
        <f>99</f>
        <v>99</v>
      </c>
      <c r="BH99" s="111">
        <f>F99*AO99</f>
        <v>0</v>
      </c>
      <c r="BI99" s="111">
        <f>F99*AP99</f>
        <v>0</v>
      </c>
      <c r="BJ99" s="111">
        <f>F99*G99</f>
        <v>0</v>
      </c>
      <c r="BK99" s="111"/>
      <c r="BL99" s="102">
        <v>762</v>
      </c>
      <c r="BW99" s="102">
        <v>21</v>
      </c>
    </row>
    <row r="100" spans="1:11" ht="15">
      <c r="A100" s="105"/>
      <c r="C100" s="106" t="s">
        <v>691</v>
      </c>
      <c r="D100" s="107" t="s">
        <v>791</v>
      </c>
      <c r="F100" s="108">
        <v>100.00000000000001</v>
      </c>
      <c r="G100" s="215"/>
      <c r="K100" s="109"/>
    </row>
    <row r="101" spans="1:11" ht="15">
      <c r="A101" s="105"/>
      <c r="C101" s="106" t="s">
        <v>355</v>
      </c>
      <c r="D101" s="107" t="s">
        <v>577</v>
      </c>
      <c r="F101" s="108">
        <v>15.000000000000002</v>
      </c>
      <c r="G101" s="215"/>
      <c r="K101" s="109"/>
    </row>
    <row r="102" spans="1:75" ht="15">
      <c r="A102" s="23" t="s">
        <v>73</v>
      </c>
      <c r="B102" s="19" t="s">
        <v>518</v>
      </c>
      <c r="C102" s="135" t="s">
        <v>772</v>
      </c>
      <c r="D102" s="135"/>
      <c r="E102" s="19" t="s">
        <v>224</v>
      </c>
      <c r="F102" s="102">
        <f>'Stavební rozpočet'!F102</f>
        <v>3</v>
      </c>
      <c r="G102" s="214">
        <f>'Stavební rozpočet'!G102</f>
        <v>0</v>
      </c>
      <c r="H102" s="102">
        <f>F102*AO102</f>
        <v>0</v>
      </c>
      <c r="I102" s="102">
        <f>F102*AP102</f>
        <v>0</v>
      </c>
      <c r="J102" s="102">
        <f>F102*G102</f>
        <v>0</v>
      </c>
      <c r="K102" s="103" t="s">
        <v>406</v>
      </c>
      <c r="Z102" s="102">
        <f>IF(AQ102="5",BJ102,0)</f>
        <v>0</v>
      </c>
      <c r="AB102" s="102">
        <f>IF(AQ102="1",BH102,0)</f>
        <v>0</v>
      </c>
      <c r="AC102" s="102">
        <f>IF(AQ102="1",BI102,0)</f>
        <v>0</v>
      </c>
      <c r="AD102" s="102">
        <f>IF(AQ102="7",BH102,0)</f>
        <v>0</v>
      </c>
      <c r="AE102" s="102">
        <f>IF(AQ102="7",BI102,0)</f>
        <v>0</v>
      </c>
      <c r="AF102" s="102">
        <f>IF(AQ102="2",BH102,0)</f>
        <v>0</v>
      </c>
      <c r="AG102" s="102">
        <f>IF(AQ102="2",BI102,0)</f>
        <v>0</v>
      </c>
      <c r="AH102" s="102">
        <f>IF(AQ102="0",BJ102,0)</f>
        <v>0</v>
      </c>
      <c r="AI102" s="87" t="s">
        <v>566</v>
      </c>
      <c r="AJ102" s="102">
        <f>IF(AN102=0,J102,0)</f>
        <v>0</v>
      </c>
      <c r="AK102" s="102">
        <f>IF(AN102=12,J102,0)</f>
        <v>0</v>
      </c>
      <c r="AL102" s="102">
        <f>IF(AN102=21,J102,0)</f>
        <v>0</v>
      </c>
      <c r="AN102" s="102">
        <v>21</v>
      </c>
      <c r="AO102" s="102">
        <f>G102*0.139967488201363</f>
        <v>0</v>
      </c>
      <c r="AP102" s="102">
        <f>G102*(1-0.139967488201363)</f>
        <v>0</v>
      </c>
      <c r="AQ102" s="104" t="s">
        <v>831</v>
      </c>
      <c r="AV102" s="102">
        <f>AW102+AX102</f>
        <v>0</v>
      </c>
      <c r="AW102" s="102">
        <f>F102*AO102</f>
        <v>0</v>
      </c>
      <c r="AX102" s="102">
        <f>F102*AP102</f>
        <v>0</v>
      </c>
      <c r="AY102" s="104" t="s">
        <v>527</v>
      </c>
      <c r="AZ102" s="104" t="s">
        <v>912</v>
      </c>
      <c r="BA102" s="87" t="s">
        <v>870</v>
      </c>
      <c r="BC102" s="102">
        <f>AW102+AX102</f>
        <v>0</v>
      </c>
      <c r="BD102" s="102">
        <f>G102/(100-BE102)*100</f>
        <v>0</v>
      </c>
      <c r="BE102" s="102">
        <v>0</v>
      </c>
      <c r="BF102" s="102">
        <f>102</f>
        <v>102</v>
      </c>
      <c r="BH102" s="102">
        <f>F102*AO102</f>
        <v>0</v>
      </c>
      <c r="BI102" s="102">
        <f>F102*AP102</f>
        <v>0</v>
      </c>
      <c r="BJ102" s="102">
        <f>F102*G102</f>
        <v>0</v>
      </c>
      <c r="BK102" s="102"/>
      <c r="BL102" s="102">
        <v>762</v>
      </c>
      <c r="BW102" s="102">
        <v>21</v>
      </c>
    </row>
    <row r="103" spans="1:11" ht="15">
      <c r="A103" s="105"/>
      <c r="C103" s="202" t="s">
        <v>437</v>
      </c>
      <c r="D103" s="202"/>
      <c r="E103" s="202"/>
      <c r="F103" s="202"/>
      <c r="G103" s="202"/>
      <c r="H103" s="202"/>
      <c r="I103" s="202"/>
      <c r="J103" s="202"/>
      <c r="K103" s="203"/>
    </row>
    <row r="104" spans="1:11" ht="15">
      <c r="A104" s="105"/>
      <c r="C104" s="106" t="s">
        <v>724</v>
      </c>
      <c r="D104" s="107" t="s">
        <v>577</v>
      </c>
      <c r="F104" s="108">
        <v>3.0000000000000004</v>
      </c>
      <c r="G104" s="215"/>
      <c r="K104" s="109"/>
    </row>
    <row r="105" spans="1:75" ht="15">
      <c r="A105" s="23" t="s">
        <v>541</v>
      </c>
      <c r="B105" s="19" t="s">
        <v>228</v>
      </c>
      <c r="C105" s="135" t="s">
        <v>509</v>
      </c>
      <c r="D105" s="135"/>
      <c r="E105" s="19" t="s">
        <v>695</v>
      </c>
      <c r="F105" s="102">
        <f>'Stavební rozpočet'!F105</f>
        <v>84</v>
      </c>
      <c r="G105" s="214">
        <f>'Stavební rozpočet'!G105</f>
        <v>0</v>
      </c>
      <c r="H105" s="102">
        <f>F105*AO105</f>
        <v>0</v>
      </c>
      <c r="I105" s="102">
        <f>F105*AP105</f>
        <v>0</v>
      </c>
      <c r="J105" s="102">
        <f>F105*G105</f>
        <v>0</v>
      </c>
      <c r="K105" s="103" t="s">
        <v>406</v>
      </c>
      <c r="Z105" s="102">
        <f>IF(AQ105="5",BJ105,0)</f>
        <v>0</v>
      </c>
      <c r="AB105" s="102">
        <f>IF(AQ105="1",BH105,0)</f>
        <v>0</v>
      </c>
      <c r="AC105" s="102">
        <f>IF(AQ105="1",BI105,0)</f>
        <v>0</v>
      </c>
      <c r="AD105" s="102">
        <f>IF(AQ105="7",BH105,0)</f>
        <v>0</v>
      </c>
      <c r="AE105" s="102">
        <f>IF(AQ105="7",BI105,0)</f>
        <v>0</v>
      </c>
      <c r="AF105" s="102">
        <f>IF(AQ105="2",BH105,0)</f>
        <v>0</v>
      </c>
      <c r="AG105" s="102">
        <f>IF(AQ105="2",BI105,0)</f>
        <v>0</v>
      </c>
      <c r="AH105" s="102">
        <f>IF(AQ105="0",BJ105,0)</f>
        <v>0</v>
      </c>
      <c r="AI105" s="87" t="s">
        <v>566</v>
      </c>
      <c r="AJ105" s="102">
        <f>IF(AN105=0,J105,0)</f>
        <v>0</v>
      </c>
      <c r="AK105" s="102">
        <f>IF(AN105=12,J105,0)</f>
        <v>0</v>
      </c>
      <c r="AL105" s="102">
        <f>IF(AN105=21,J105,0)</f>
        <v>0</v>
      </c>
      <c r="AN105" s="102">
        <v>21</v>
      </c>
      <c r="AO105" s="102">
        <f>G105*0</f>
        <v>0</v>
      </c>
      <c r="AP105" s="102">
        <f>G105*(1-0)</f>
        <v>0</v>
      </c>
      <c r="AQ105" s="104" t="s">
        <v>831</v>
      </c>
      <c r="AV105" s="102">
        <f>AW105+AX105</f>
        <v>0</v>
      </c>
      <c r="AW105" s="102">
        <f>F105*AO105</f>
        <v>0</v>
      </c>
      <c r="AX105" s="102">
        <f>F105*AP105</f>
        <v>0</v>
      </c>
      <c r="AY105" s="104" t="s">
        <v>527</v>
      </c>
      <c r="AZ105" s="104" t="s">
        <v>912</v>
      </c>
      <c r="BA105" s="87" t="s">
        <v>870</v>
      </c>
      <c r="BC105" s="102">
        <f>AW105+AX105</f>
        <v>0</v>
      </c>
      <c r="BD105" s="102">
        <f>G105/(100-BE105)*100</f>
        <v>0</v>
      </c>
      <c r="BE105" s="102">
        <v>0</v>
      </c>
      <c r="BF105" s="102">
        <f>105</f>
        <v>105</v>
      </c>
      <c r="BH105" s="102">
        <f>F105*AO105</f>
        <v>0</v>
      </c>
      <c r="BI105" s="102">
        <f>F105*AP105</f>
        <v>0</v>
      </c>
      <c r="BJ105" s="102">
        <f>F105*G105</f>
        <v>0</v>
      </c>
      <c r="BK105" s="102"/>
      <c r="BL105" s="102">
        <v>762</v>
      </c>
      <c r="BW105" s="102">
        <v>21</v>
      </c>
    </row>
    <row r="106" spans="1:11" ht="15">
      <c r="A106" s="105"/>
      <c r="C106" s="106" t="s">
        <v>505</v>
      </c>
      <c r="D106" s="107" t="s">
        <v>157</v>
      </c>
      <c r="F106" s="108">
        <v>84</v>
      </c>
      <c r="G106" s="215"/>
      <c r="K106" s="109"/>
    </row>
    <row r="107" spans="1:75" ht="15">
      <c r="A107" s="23" t="s">
        <v>504</v>
      </c>
      <c r="B107" s="19" t="s">
        <v>501</v>
      </c>
      <c r="C107" s="135" t="s">
        <v>399</v>
      </c>
      <c r="D107" s="135"/>
      <c r="E107" s="19" t="s">
        <v>695</v>
      </c>
      <c r="F107" s="102">
        <f>'Stavební rozpočet'!F107</f>
        <v>341.76</v>
      </c>
      <c r="G107" s="214">
        <f>'Stavební rozpočet'!G107</f>
        <v>0</v>
      </c>
      <c r="H107" s="102">
        <f>F107*AO107</f>
        <v>0</v>
      </c>
      <c r="I107" s="102">
        <f>F107*AP107</f>
        <v>0</v>
      </c>
      <c r="J107" s="102">
        <f>F107*G107</f>
        <v>0</v>
      </c>
      <c r="K107" s="103" t="s">
        <v>406</v>
      </c>
      <c r="Z107" s="102">
        <f>IF(AQ107="5",BJ107,0)</f>
        <v>0</v>
      </c>
      <c r="AB107" s="102">
        <f>IF(AQ107="1",BH107,0)</f>
        <v>0</v>
      </c>
      <c r="AC107" s="102">
        <f>IF(AQ107="1",BI107,0)</f>
        <v>0</v>
      </c>
      <c r="AD107" s="102">
        <f>IF(AQ107="7",BH107,0)</f>
        <v>0</v>
      </c>
      <c r="AE107" s="102">
        <f>IF(AQ107="7",BI107,0)</f>
        <v>0</v>
      </c>
      <c r="AF107" s="102">
        <f>IF(AQ107="2",BH107,0)</f>
        <v>0</v>
      </c>
      <c r="AG107" s="102">
        <f>IF(AQ107="2",BI107,0)</f>
        <v>0</v>
      </c>
      <c r="AH107" s="102">
        <f>IF(AQ107="0",BJ107,0)</f>
        <v>0</v>
      </c>
      <c r="AI107" s="87" t="s">
        <v>566</v>
      </c>
      <c r="AJ107" s="102">
        <f>IF(AN107=0,J107,0)</f>
        <v>0</v>
      </c>
      <c r="AK107" s="102">
        <f>IF(AN107=12,J107,0)</f>
        <v>0</v>
      </c>
      <c r="AL107" s="102">
        <f>IF(AN107=21,J107,0)</f>
        <v>0</v>
      </c>
      <c r="AN107" s="102">
        <v>21</v>
      </c>
      <c r="AO107" s="102">
        <f>G107*0</f>
        <v>0</v>
      </c>
      <c r="AP107" s="102">
        <f>G107*(1-0)</f>
        <v>0</v>
      </c>
      <c r="AQ107" s="104" t="s">
        <v>831</v>
      </c>
      <c r="AV107" s="102">
        <f>AW107+AX107</f>
        <v>0</v>
      </c>
      <c r="AW107" s="102">
        <f>F107*AO107</f>
        <v>0</v>
      </c>
      <c r="AX107" s="102">
        <f>F107*AP107</f>
        <v>0</v>
      </c>
      <c r="AY107" s="104" t="s">
        <v>527</v>
      </c>
      <c r="AZ107" s="104" t="s">
        <v>912</v>
      </c>
      <c r="BA107" s="87" t="s">
        <v>870</v>
      </c>
      <c r="BC107" s="102">
        <f>AW107+AX107</f>
        <v>0</v>
      </c>
      <c r="BD107" s="102">
        <f>G107/(100-BE107)*100</f>
        <v>0</v>
      </c>
      <c r="BE107" s="102">
        <v>0</v>
      </c>
      <c r="BF107" s="102">
        <f>107</f>
        <v>107</v>
      </c>
      <c r="BH107" s="102">
        <f>F107*AO107</f>
        <v>0</v>
      </c>
      <c r="BI107" s="102">
        <f>F107*AP107</f>
        <v>0</v>
      </c>
      <c r="BJ107" s="102">
        <f>F107*G107</f>
        <v>0</v>
      </c>
      <c r="BK107" s="102"/>
      <c r="BL107" s="102">
        <v>762</v>
      </c>
      <c r="BW107" s="102">
        <v>21</v>
      </c>
    </row>
    <row r="108" spans="1:11" ht="15">
      <c r="A108" s="105"/>
      <c r="C108" s="106" t="s">
        <v>605</v>
      </c>
      <c r="D108" s="107" t="s">
        <v>157</v>
      </c>
      <c r="F108" s="108">
        <v>341.76000000000005</v>
      </c>
      <c r="G108" s="215"/>
      <c r="K108" s="109"/>
    </row>
    <row r="109" spans="1:75" ht="15">
      <c r="A109" s="23" t="s">
        <v>702</v>
      </c>
      <c r="B109" s="19" t="s">
        <v>237</v>
      </c>
      <c r="C109" s="135" t="s">
        <v>586</v>
      </c>
      <c r="D109" s="135"/>
      <c r="E109" s="19" t="s">
        <v>695</v>
      </c>
      <c r="F109" s="102">
        <f>'Stavební rozpočet'!F109</f>
        <v>73.99</v>
      </c>
      <c r="G109" s="214">
        <f>'Stavební rozpočet'!G109</f>
        <v>0</v>
      </c>
      <c r="H109" s="102">
        <f>F109*AO109</f>
        <v>0</v>
      </c>
      <c r="I109" s="102">
        <f>F109*AP109</f>
        <v>0</v>
      </c>
      <c r="J109" s="102">
        <f>F109*G109</f>
        <v>0</v>
      </c>
      <c r="K109" s="103" t="s">
        <v>406</v>
      </c>
      <c r="Z109" s="102">
        <f>IF(AQ109="5",BJ109,0)</f>
        <v>0</v>
      </c>
      <c r="AB109" s="102">
        <f>IF(AQ109="1",BH109,0)</f>
        <v>0</v>
      </c>
      <c r="AC109" s="102">
        <f>IF(AQ109="1",BI109,0)</f>
        <v>0</v>
      </c>
      <c r="AD109" s="102">
        <f>IF(AQ109="7",BH109,0)</f>
        <v>0</v>
      </c>
      <c r="AE109" s="102">
        <f>IF(AQ109="7",BI109,0)</f>
        <v>0</v>
      </c>
      <c r="AF109" s="102">
        <f>IF(AQ109="2",BH109,0)</f>
        <v>0</v>
      </c>
      <c r="AG109" s="102">
        <f>IF(AQ109="2",BI109,0)</f>
        <v>0</v>
      </c>
      <c r="AH109" s="102">
        <f>IF(AQ109="0",BJ109,0)</f>
        <v>0</v>
      </c>
      <c r="AI109" s="87" t="s">
        <v>566</v>
      </c>
      <c r="AJ109" s="102">
        <f>IF(AN109=0,J109,0)</f>
        <v>0</v>
      </c>
      <c r="AK109" s="102">
        <f>IF(AN109=12,J109,0)</f>
        <v>0</v>
      </c>
      <c r="AL109" s="102">
        <f>IF(AN109=21,J109,0)</f>
        <v>0</v>
      </c>
      <c r="AN109" s="102">
        <v>21</v>
      </c>
      <c r="AO109" s="102">
        <f>G109*0</f>
        <v>0</v>
      </c>
      <c r="AP109" s="102">
        <f>G109*(1-0)</f>
        <v>0</v>
      </c>
      <c r="AQ109" s="104" t="s">
        <v>831</v>
      </c>
      <c r="AV109" s="102">
        <f>AW109+AX109</f>
        <v>0</v>
      </c>
      <c r="AW109" s="102">
        <f>F109*AO109</f>
        <v>0</v>
      </c>
      <c r="AX109" s="102">
        <f>F109*AP109</f>
        <v>0</v>
      </c>
      <c r="AY109" s="104" t="s">
        <v>527</v>
      </c>
      <c r="AZ109" s="104" t="s">
        <v>912</v>
      </c>
      <c r="BA109" s="87" t="s">
        <v>870</v>
      </c>
      <c r="BC109" s="102">
        <f>AW109+AX109</f>
        <v>0</v>
      </c>
      <c r="BD109" s="102">
        <f>G109/(100-BE109)*100</f>
        <v>0</v>
      </c>
      <c r="BE109" s="102">
        <v>0</v>
      </c>
      <c r="BF109" s="102">
        <f>109</f>
        <v>109</v>
      </c>
      <c r="BH109" s="102">
        <f>F109*AO109</f>
        <v>0</v>
      </c>
      <c r="BI109" s="102">
        <f>F109*AP109</f>
        <v>0</v>
      </c>
      <c r="BJ109" s="102">
        <f>F109*G109</f>
        <v>0</v>
      </c>
      <c r="BK109" s="102"/>
      <c r="BL109" s="102">
        <v>762</v>
      </c>
      <c r="BW109" s="102">
        <v>21</v>
      </c>
    </row>
    <row r="110" spans="1:11" ht="15">
      <c r="A110" s="105"/>
      <c r="C110" s="106" t="s">
        <v>441</v>
      </c>
      <c r="D110" s="107" t="s">
        <v>157</v>
      </c>
      <c r="F110" s="108">
        <v>73.99000000000001</v>
      </c>
      <c r="G110" s="215"/>
      <c r="K110" s="109"/>
    </row>
    <row r="111" spans="1:75" ht="15">
      <c r="A111" s="23" t="s">
        <v>195</v>
      </c>
      <c r="B111" s="19" t="s">
        <v>481</v>
      </c>
      <c r="C111" s="135" t="s">
        <v>291</v>
      </c>
      <c r="D111" s="135"/>
      <c r="E111" s="19" t="s">
        <v>695</v>
      </c>
      <c r="F111" s="102">
        <f>'Stavební rozpočet'!F111</f>
        <v>52.4</v>
      </c>
      <c r="G111" s="214">
        <f>'Stavební rozpočet'!G111</f>
        <v>0</v>
      </c>
      <c r="H111" s="102">
        <f>F111*AO111</f>
        <v>0</v>
      </c>
      <c r="I111" s="102">
        <f>F111*AP111</f>
        <v>0</v>
      </c>
      <c r="J111" s="102">
        <f>F111*G111</f>
        <v>0</v>
      </c>
      <c r="K111" s="103" t="s">
        <v>406</v>
      </c>
      <c r="Z111" s="102">
        <f>IF(AQ111="5",BJ111,0)</f>
        <v>0</v>
      </c>
      <c r="AB111" s="102">
        <f>IF(AQ111="1",BH111,0)</f>
        <v>0</v>
      </c>
      <c r="AC111" s="102">
        <f>IF(AQ111="1",BI111,0)</f>
        <v>0</v>
      </c>
      <c r="AD111" s="102">
        <f>IF(AQ111="7",BH111,0)</f>
        <v>0</v>
      </c>
      <c r="AE111" s="102">
        <f>IF(AQ111="7",BI111,0)</f>
        <v>0</v>
      </c>
      <c r="AF111" s="102">
        <f>IF(AQ111="2",BH111,0)</f>
        <v>0</v>
      </c>
      <c r="AG111" s="102">
        <f>IF(AQ111="2",BI111,0)</f>
        <v>0</v>
      </c>
      <c r="AH111" s="102">
        <f>IF(AQ111="0",BJ111,0)</f>
        <v>0</v>
      </c>
      <c r="AI111" s="87" t="s">
        <v>566</v>
      </c>
      <c r="AJ111" s="102">
        <f>IF(AN111=0,J111,0)</f>
        <v>0</v>
      </c>
      <c r="AK111" s="102">
        <f>IF(AN111=12,J111,0)</f>
        <v>0</v>
      </c>
      <c r="AL111" s="102">
        <f>IF(AN111=21,J111,0)</f>
        <v>0</v>
      </c>
      <c r="AN111" s="102">
        <v>21</v>
      </c>
      <c r="AO111" s="102">
        <f>G111*0</f>
        <v>0</v>
      </c>
      <c r="AP111" s="102">
        <f>G111*(1-0)</f>
        <v>0</v>
      </c>
      <c r="AQ111" s="104" t="s">
        <v>831</v>
      </c>
      <c r="AV111" s="102">
        <f>AW111+AX111</f>
        <v>0</v>
      </c>
      <c r="AW111" s="102">
        <f>F111*AO111</f>
        <v>0</v>
      </c>
      <c r="AX111" s="102">
        <f>F111*AP111</f>
        <v>0</v>
      </c>
      <c r="AY111" s="104" t="s">
        <v>527</v>
      </c>
      <c r="AZ111" s="104" t="s">
        <v>912</v>
      </c>
      <c r="BA111" s="87" t="s">
        <v>870</v>
      </c>
      <c r="BC111" s="102">
        <f>AW111+AX111</f>
        <v>0</v>
      </c>
      <c r="BD111" s="102">
        <f>G111/(100-BE111)*100</f>
        <v>0</v>
      </c>
      <c r="BE111" s="102">
        <v>0</v>
      </c>
      <c r="BF111" s="102">
        <f>111</f>
        <v>111</v>
      </c>
      <c r="BH111" s="102">
        <f>F111*AO111</f>
        <v>0</v>
      </c>
      <c r="BI111" s="102">
        <f>F111*AP111</f>
        <v>0</v>
      </c>
      <c r="BJ111" s="102">
        <f>F111*G111</f>
        <v>0</v>
      </c>
      <c r="BK111" s="102"/>
      <c r="BL111" s="102">
        <v>762</v>
      </c>
      <c r="BW111" s="102">
        <v>21</v>
      </c>
    </row>
    <row r="112" spans="1:11" ht="15">
      <c r="A112" s="105"/>
      <c r="C112" s="106" t="s">
        <v>569</v>
      </c>
      <c r="D112" s="107" t="s">
        <v>157</v>
      </c>
      <c r="F112" s="108">
        <v>52.400000000000006</v>
      </c>
      <c r="G112" s="215"/>
      <c r="K112" s="109"/>
    </row>
    <row r="113" spans="1:75" ht="15">
      <c r="A113" s="23" t="s">
        <v>920</v>
      </c>
      <c r="B113" s="19" t="s">
        <v>765</v>
      </c>
      <c r="C113" s="135" t="s">
        <v>727</v>
      </c>
      <c r="D113" s="135"/>
      <c r="E113" s="19" t="s">
        <v>695</v>
      </c>
      <c r="F113" s="102">
        <f>'Stavební rozpočet'!F113</f>
        <v>550.18</v>
      </c>
      <c r="G113" s="214">
        <f>'Stavební rozpočet'!G113</f>
        <v>0</v>
      </c>
      <c r="H113" s="102">
        <f>F113*AO113</f>
        <v>0</v>
      </c>
      <c r="I113" s="102">
        <f>F113*AP113</f>
        <v>0</v>
      </c>
      <c r="J113" s="102">
        <f>F113*G113</f>
        <v>0</v>
      </c>
      <c r="K113" s="103" t="s">
        <v>406</v>
      </c>
      <c r="Z113" s="102">
        <f>IF(AQ113="5",BJ113,0)</f>
        <v>0</v>
      </c>
      <c r="AB113" s="102">
        <f>IF(AQ113="1",BH113,0)</f>
        <v>0</v>
      </c>
      <c r="AC113" s="102">
        <f>IF(AQ113="1",BI113,0)</f>
        <v>0</v>
      </c>
      <c r="AD113" s="102">
        <f>IF(AQ113="7",BH113,0)</f>
        <v>0</v>
      </c>
      <c r="AE113" s="102">
        <f>IF(AQ113="7",BI113,0)</f>
        <v>0</v>
      </c>
      <c r="AF113" s="102">
        <f>IF(AQ113="2",BH113,0)</f>
        <v>0</v>
      </c>
      <c r="AG113" s="102">
        <f>IF(AQ113="2",BI113,0)</f>
        <v>0</v>
      </c>
      <c r="AH113" s="102">
        <f>IF(AQ113="0",BJ113,0)</f>
        <v>0</v>
      </c>
      <c r="AI113" s="87" t="s">
        <v>566</v>
      </c>
      <c r="AJ113" s="102">
        <f>IF(AN113=0,J113,0)</f>
        <v>0</v>
      </c>
      <c r="AK113" s="102">
        <f>IF(AN113=12,J113,0)</f>
        <v>0</v>
      </c>
      <c r="AL113" s="102">
        <f>IF(AN113=21,J113,0)</f>
        <v>0</v>
      </c>
      <c r="AN113" s="102">
        <v>21</v>
      </c>
      <c r="AO113" s="102">
        <f>G113*0.556609294320138</f>
        <v>0</v>
      </c>
      <c r="AP113" s="102">
        <f>G113*(1-0.556609294320138)</f>
        <v>0</v>
      </c>
      <c r="AQ113" s="104" t="s">
        <v>831</v>
      </c>
      <c r="AV113" s="102">
        <f>AW113+AX113</f>
        <v>0</v>
      </c>
      <c r="AW113" s="102">
        <f>F113*AO113</f>
        <v>0</v>
      </c>
      <c r="AX113" s="102">
        <f>F113*AP113</f>
        <v>0</v>
      </c>
      <c r="AY113" s="104" t="s">
        <v>527</v>
      </c>
      <c r="AZ113" s="104" t="s">
        <v>912</v>
      </c>
      <c r="BA113" s="87" t="s">
        <v>870</v>
      </c>
      <c r="BC113" s="102">
        <f>AW113+AX113</f>
        <v>0</v>
      </c>
      <c r="BD113" s="102">
        <f>G113/(100-BE113)*100</f>
        <v>0</v>
      </c>
      <c r="BE113" s="102">
        <v>0</v>
      </c>
      <c r="BF113" s="102">
        <f>113</f>
        <v>113</v>
      </c>
      <c r="BH113" s="102">
        <f>F113*AO113</f>
        <v>0</v>
      </c>
      <c r="BI113" s="102">
        <f>F113*AP113</f>
        <v>0</v>
      </c>
      <c r="BJ113" s="102">
        <f>F113*G113</f>
        <v>0</v>
      </c>
      <c r="BK113" s="102"/>
      <c r="BL113" s="102">
        <v>762</v>
      </c>
      <c r="BW113" s="102">
        <v>21</v>
      </c>
    </row>
    <row r="114" spans="1:11" ht="15">
      <c r="A114" s="105"/>
      <c r="C114" s="202" t="s">
        <v>281</v>
      </c>
      <c r="D114" s="202"/>
      <c r="E114" s="202"/>
      <c r="F114" s="202"/>
      <c r="G114" s="202"/>
      <c r="H114" s="202"/>
      <c r="I114" s="202"/>
      <c r="J114" s="202"/>
      <c r="K114" s="203"/>
    </row>
    <row r="115" spans="1:11" ht="15">
      <c r="A115" s="105"/>
      <c r="C115" s="106" t="s">
        <v>356</v>
      </c>
      <c r="D115" s="107" t="s">
        <v>595</v>
      </c>
      <c r="F115" s="108">
        <v>452.02000000000004</v>
      </c>
      <c r="G115" s="215"/>
      <c r="K115" s="109"/>
    </row>
    <row r="116" spans="1:11" ht="15">
      <c r="A116" s="105"/>
      <c r="C116" s="106" t="s">
        <v>353</v>
      </c>
      <c r="D116" s="107" t="s">
        <v>42</v>
      </c>
      <c r="F116" s="108">
        <v>98.16000000000001</v>
      </c>
      <c r="G116" s="215"/>
      <c r="K116" s="109"/>
    </row>
    <row r="117" spans="1:75" ht="15">
      <c r="A117" s="23" t="s">
        <v>740</v>
      </c>
      <c r="B117" s="19" t="s">
        <v>8</v>
      </c>
      <c r="C117" s="135" t="s">
        <v>315</v>
      </c>
      <c r="D117" s="135"/>
      <c r="E117" s="19" t="s">
        <v>695</v>
      </c>
      <c r="F117" s="102">
        <f>'Stavební rozpočet'!F117</f>
        <v>36.9</v>
      </c>
      <c r="G117" s="214">
        <f>'Stavební rozpočet'!G117</f>
        <v>0</v>
      </c>
      <c r="H117" s="102">
        <f>F117*AO117</f>
        <v>0</v>
      </c>
      <c r="I117" s="102">
        <f>F117*AP117</f>
        <v>0</v>
      </c>
      <c r="J117" s="102">
        <f>F117*G117</f>
        <v>0</v>
      </c>
      <c r="K117" s="103" t="s">
        <v>406</v>
      </c>
      <c r="Z117" s="102">
        <f>IF(AQ117="5",BJ117,0)</f>
        <v>0</v>
      </c>
      <c r="AB117" s="102">
        <f>IF(AQ117="1",BH117,0)</f>
        <v>0</v>
      </c>
      <c r="AC117" s="102">
        <f>IF(AQ117="1",BI117,0)</f>
        <v>0</v>
      </c>
      <c r="AD117" s="102">
        <f>IF(AQ117="7",BH117,0)</f>
        <v>0</v>
      </c>
      <c r="AE117" s="102">
        <f>IF(AQ117="7",BI117,0)</f>
        <v>0</v>
      </c>
      <c r="AF117" s="102">
        <f>IF(AQ117="2",BH117,0)</f>
        <v>0</v>
      </c>
      <c r="AG117" s="102">
        <f>IF(AQ117="2",BI117,0)</f>
        <v>0</v>
      </c>
      <c r="AH117" s="102">
        <f>IF(AQ117="0",BJ117,0)</f>
        <v>0</v>
      </c>
      <c r="AI117" s="87" t="s">
        <v>566</v>
      </c>
      <c r="AJ117" s="102">
        <f>IF(AN117=0,J117,0)</f>
        <v>0</v>
      </c>
      <c r="AK117" s="102">
        <f>IF(AN117=12,J117,0)</f>
        <v>0</v>
      </c>
      <c r="AL117" s="102">
        <f>IF(AN117=21,J117,0)</f>
        <v>0</v>
      </c>
      <c r="AN117" s="102">
        <v>21</v>
      </c>
      <c r="AO117" s="102">
        <f>G117*0.557749029754204</f>
        <v>0</v>
      </c>
      <c r="AP117" s="102">
        <f>G117*(1-0.557749029754204)</f>
        <v>0</v>
      </c>
      <c r="AQ117" s="104" t="s">
        <v>831</v>
      </c>
      <c r="AV117" s="102">
        <f>AW117+AX117</f>
        <v>0</v>
      </c>
      <c r="AW117" s="102">
        <f>F117*AO117</f>
        <v>0</v>
      </c>
      <c r="AX117" s="102">
        <f>F117*AP117</f>
        <v>0</v>
      </c>
      <c r="AY117" s="104" t="s">
        <v>527</v>
      </c>
      <c r="AZ117" s="104" t="s">
        <v>912</v>
      </c>
      <c r="BA117" s="87" t="s">
        <v>870</v>
      </c>
      <c r="BC117" s="102">
        <f>AW117+AX117</f>
        <v>0</v>
      </c>
      <c r="BD117" s="102">
        <f>G117/(100-BE117)*100</f>
        <v>0</v>
      </c>
      <c r="BE117" s="102">
        <v>0</v>
      </c>
      <c r="BF117" s="102">
        <f>117</f>
        <v>117</v>
      </c>
      <c r="BH117" s="102">
        <f>F117*AO117</f>
        <v>0</v>
      </c>
      <c r="BI117" s="102">
        <f>F117*AP117</f>
        <v>0</v>
      </c>
      <c r="BJ117" s="102">
        <f>F117*G117</f>
        <v>0</v>
      </c>
      <c r="BK117" s="102"/>
      <c r="BL117" s="102">
        <v>762</v>
      </c>
      <c r="BW117" s="102">
        <v>21</v>
      </c>
    </row>
    <row r="118" spans="1:11" ht="15">
      <c r="A118" s="105"/>
      <c r="C118" s="202" t="s">
        <v>935</v>
      </c>
      <c r="D118" s="202"/>
      <c r="E118" s="202"/>
      <c r="F118" s="202"/>
      <c r="G118" s="202"/>
      <c r="H118" s="202"/>
      <c r="I118" s="202"/>
      <c r="J118" s="202"/>
      <c r="K118" s="203"/>
    </row>
    <row r="119" spans="1:11" ht="15">
      <c r="A119" s="105"/>
      <c r="C119" s="106" t="s">
        <v>137</v>
      </c>
      <c r="D119" s="107" t="s">
        <v>595</v>
      </c>
      <c r="F119" s="108">
        <v>14.9</v>
      </c>
      <c r="G119" s="215"/>
      <c r="K119" s="109"/>
    </row>
    <row r="120" spans="1:11" ht="15">
      <c r="A120" s="105"/>
      <c r="C120" s="106" t="s">
        <v>352</v>
      </c>
      <c r="D120" s="107" t="s">
        <v>42</v>
      </c>
      <c r="F120" s="108">
        <v>22.000000000000004</v>
      </c>
      <c r="G120" s="215"/>
      <c r="K120" s="109"/>
    </row>
    <row r="121" spans="1:75" ht="15">
      <c r="A121" s="23" t="s">
        <v>497</v>
      </c>
      <c r="B121" s="19" t="s">
        <v>78</v>
      </c>
      <c r="C121" s="135" t="s">
        <v>1</v>
      </c>
      <c r="D121" s="135"/>
      <c r="E121" s="19" t="s">
        <v>695</v>
      </c>
      <c r="F121" s="102">
        <f>'Stavební rozpočet'!F121</f>
        <v>123.91</v>
      </c>
      <c r="G121" s="214">
        <f>'Stavební rozpočet'!G121</f>
        <v>0</v>
      </c>
      <c r="H121" s="102">
        <f>F121*AO121</f>
        <v>0</v>
      </c>
      <c r="I121" s="102">
        <f>F121*AP121</f>
        <v>0</v>
      </c>
      <c r="J121" s="102">
        <f>F121*G121</f>
        <v>0</v>
      </c>
      <c r="K121" s="103" t="s">
        <v>406</v>
      </c>
      <c r="Z121" s="102">
        <f>IF(AQ121="5",BJ121,0)</f>
        <v>0</v>
      </c>
      <c r="AB121" s="102">
        <f>IF(AQ121="1",BH121,0)</f>
        <v>0</v>
      </c>
      <c r="AC121" s="102">
        <f>IF(AQ121="1",BI121,0)</f>
        <v>0</v>
      </c>
      <c r="AD121" s="102">
        <f>IF(AQ121="7",BH121,0)</f>
        <v>0</v>
      </c>
      <c r="AE121" s="102">
        <f>IF(AQ121="7",BI121,0)</f>
        <v>0</v>
      </c>
      <c r="AF121" s="102">
        <f>IF(AQ121="2",BH121,0)</f>
        <v>0</v>
      </c>
      <c r="AG121" s="102">
        <f>IF(AQ121="2",BI121,0)</f>
        <v>0</v>
      </c>
      <c r="AH121" s="102">
        <f>IF(AQ121="0",BJ121,0)</f>
        <v>0</v>
      </c>
      <c r="AI121" s="87" t="s">
        <v>566</v>
      </c>
      <c r="AJ121" s="102">
        <f>IF(AN121=0,J121,0)</f>
        <v>0</v>
      </c>
      <c r="AK121" s="102">
        <f>IF(AN121=12,J121,0)</f>
        <v>0</v>
      </c>
      <c r="AL121" s="102">
        <f>IF(AN121=21,J121,0)</f>
        <v>0</v>
      </c>
      <c r="AN121" s="102">
        <v>21</v>
      </c>
      <c r="AO121" s="102">
        <f>G121*0.647257142857143</f>
        <v>0</v>
      </c>
      <c r="AP121" s="102">
        <f>G121*(1-0.647257142857143)</f>
        <v>0</v>
      </c>
      <c r="AQ121" s="104" t="s">
        <v>831</v>
      </c>
      <c r="AV121" s="102">
        <f>AW121+AX121</f>
        <v>0</v>
      </c>
      <c r="AW121" s="102">
        <f>F121*AO121</f>
        <v>0</v>
      </c>
      <c r="AX121" s="102">
        <f>F121*AP121</f>
        <v>0</v>
      </c>
      <c r="AY121" s="104" t="s">
        <v>527</v>
      </c>
      <c r="AZ121" s="104" t="s">
        <v>912</v>
      </c>
      <c r="BA121" s="87" t="s">
        <v>870</v>
      </c>
      <c r="BC121" s="102">
        <f>AW121+AX121</f>
        <v>0</v>
      </c>
      <c r="BD121" s="102">
        <f>G121/(100-BE121)*100</f>
        <v>0</v>
      </c>
      <c r="BE121" s="102">
        <v>0</v>
      </c>
      <c r="BF121" s="102">
        <f>121</f>
        <v>121</v>
      </c>
      <c r="BH121" s="102">
        <f>F121*AO121</f>
        <v>0</v>
      </c>
      <c r="BI121" s="102">
        <f>F121*AP121</f>
        <v>0</v>
      </c>
      <c r="BJ121" s="102">
        <f>F121*G121</f>
        <v>0</v>
      </c>
      <c r="BK121" s="102"/>
      <c r="BL121" s="102">
        <v>762</v>
      </c>
      <c r="BW121" s="102">
        <v>21</v>
      </c>
    </row>
    <row r="122" spans="1:11" ht="15">
      <c r="A122" s="105"/>
      <c r="C122" s="202" t="s">
        <v>880</v>
      </c>
      <c r="D122" s="202"/>
      <c r="E122" s="202"/>
      <c r="F122" s="202"/>
      <c r="G122" s="202"/>
      <c r="H122" s="202"/>
      <c r="I122" s="202"/>
      <c r="J122" s="202"/>
      <c r="K122" s="203"/>
    </row>
    <row r="123" spans="1:11" ht="15">
      <c r="A123" s="105"/>
      <c r="C123" s="106" t="s">
        <v>252</v>
      </c>
      <c r="D123" s="107" t="s">
        <v>20</v>
      </c>
      <c r="F123" s="108">
        <v>111.01</v>
      </c>
      <c r="G123" s="215"/>
      <c r="K123" s="109"/>
    </row>
    <row r="124" spans="1:11" ht="15">
      <c r="A124" s="105"/>
      <c r="C124" s="106" t="s">
        <v>278</v>
      </c>
      <c r="D124" s="107" t="s">
        <v>42</v>
      </c>
      <c r="F124" s="108">
        <v>12.9</v>
      </c>
      <c r="G124" s="215"/>
      <c r="K124" s="109"/>
    </row>
    <row r="125" spans="1:75" ht="15">
      <c r="A125" s="23" t="s">
        <v>817</v>
      </c>
      <c r="B125" s="19" t="s">
        <v>249</v>
      </c>
      <c r="C125" s="135" t="s">
        <v>18</v>
      </c>
      <c r="D125" s="135"/>
      <c r="E125" s="19" t="s">
        <v>807</v>
      </c>
      <c r="F125" s="102">
        <f>'Stavební rozpočet'!F125</f>
        <v>21.7</v>
      </c>
      <c r="G125" s="214">
        <f>'Stavební rozpočet'!G125</f>
        <v>0</v>
      </c>
      <c r="H125" s="102">
        <f>F125*AO125</f>
        <v>0</v>
      </c>
      <c r="I125" s="102">
        <f>F125*AP125</f>
        <v>0</v>
      </c>
      <c r="J125" s="102">
        <f>F125*G125</f>
        <v>0</v>
      </c>
      <c r="K125" s="103" t="s">
        <v>406</v>
      </c>
      <c r="Z125" s="102">
        <f>IF(AQ125="5",BJ125,0)</f>
        <v>0</v>
      </c>
      <c r="AB125" s="102">
        <f>IF(AQ125="1",BH125,0)</f>
        <v>0</v>
      </c>
      <c r="AC125" s="102">
        <f>IF(AQ125="1",BI125,0)</f>
        <v>0</v>
      </c>
      <c r="AD125" s="102">
        <f>IF(AQ125="7",BH125,0)</f>
        <v>0</v>
      </c>
      <c r="AE125" s="102">
        <f>IF(AQ125="7",BI125,0)</f>
        <v>0</v>
      </c>
      <c r="AF125" s="102">
        <f>IF(AQ125="2",BH125,0)</f>
        <v>0</v>
      </c>
      <c r="AG125" s="102">
        <f>IF(AQ125="2",BI125,0)</f>
        <v>0</v>
      </c>
      <c r="AH125" s="102">
        <f>IF(AQ125="0",BJ125,0)</f>
        <v>0</v>
      </c>
      <c r="AI125" s="87" t="s">
        <v>566</v>
      </c>
      <c r="AJ125" s="102">
        <f>IF(AN125=0,J125,0)</f>
        <v>0</v>
      </c>
      <c r="AK125" s="102">
        <f>IF(AN125=12,J125,0)</f>
        <v>0</v>
      </c>
      <c r="AL125" s="102">
        <f>IF(AN125=21,J125,0)</f>
        <v>0</v>
      </c>
      <c r="AN125" s="102">
        <v>21</v>
      </c>
      <c r="AO125" s="102">
        <f>G125*0.988434370057986</f>
        <v>0</v>
      </c>
      <c r="AP125" s="102">
        <f>G125*(1-0.988434370057986)</f>
        <v>0</v>
      </c>
      <c r="AQ125" s="104" t="s">
        <v>831</v>
      </c>
      <c r="AV125" s="102">
        <f>AW125+AX125</f>
        <v>0</v>
      </c>
      <c r="AW125" s="102">
        <f>F125*AO125</f>
        <v>0</v>
      </c>
      <c r="AX125" s="102">
        <f>F125*AP125</f>
        <v>0</v>
      </c>
      <c r="AY125" s="104" t="s">
        <v>527</v>
      </c>
      <c r="AZ125" s="104" t="s">
        <v>912</v>
      </c>
      <c r="BA125" s="87" t="s">
        <v>870</v>
      </c>
      <c r="BC125" s="102">
        <f>AW125+AX125</f>
        <v>0</v>
      </c>
      <c r="BD125" s="102">
        <f>G125/(100-BE125)*100</f>
        <v>0</v>
      </c>
      <c r="BE125" s="102">
        <v>0</v>
      </c>
      <c r="BF125" s="102">
        <f>125</f>
        <v>125</v>
      </c>
      <c r="BH125" s="102">
        <f>F125*AO125</f>
        <v>0</v>
      </c>
      <c r="BI125" s="102">
        <f>F125*AP125</f>
        <v>0</v>
      </c>
      <c r="BJ125" s="102">
        <f>F125*G125</f>
        <v>0</v>
      </c>
      <c r="BK125" s="102"/>
      <c r="BL125" s="102">
        <v>762</v>
      </c>
      <c r="BW125" s="102">
        <v>21</v>
      </c>
    </row>
    <row r="126" spans="1:11" ht="45.75" customHeight="1">
      <c r="A126" s="105"/>
      <c r="C126" s="202" t="s">
        <v>806</v>
      </c>
      <c r="D126" s="202"/>
      <c r="E126" s="202"/>
      <c r="F126" s="202"/>
      <c r="G126" s="202"/>
      <c r="H126" s="202"/>
      <c r="I126" s="202"/>
      <c r="J126" s="202"/>
      <c r="K126" s="203"/>
    </row>
    <row r="127" spans="1:11" ht="25.5">
      <c r="A127" s="105"/>
      <c r="C127" s="106" t="s">
        <v>71</v>
      </c>
      <c r="D127" s="107" t="s">
        <v>537</v>
      </c>
      <c r="F127" s="108">
        <v>8.290000000000001</v>
      </c>
      <c r="G127" s="215"/>
      <c r="K127" s="109"/>
    </row>
    <row r="128" spans="1:11" ht="15">
      <c r="A128" s="105"/>
      <c r="C128" s="106" t="s">
        <v>627</v>
      </c>
      <c r="D128" s="107" t="s">
        <v>42</v>
      </c>
      <c r="F128" s="108">
        <v>1.61</v>
      </c>
      <c r="G128" s="215"/>
      <c r="K128" s="109"/>
    </row>
    <row r="129" spans="1:11" ht="25.5">
      <c r="A129" s="105"/>
      <c r="C129" s="106" t="s">
        <v>99</v>
      </c>
      <c r="D129" s="107" t="s">
        <v>185</v>
      </c>
      <c r="F129" s="108">
        <v>0.38</v>
      </c>
      <c r="G129" s="215"/>
      <c r="K129" s="109"/>
    </row>
    <row r="130" spans="1:11" ht="15">
      <c r="A130" s="105"/>
      <c r="C130" s="106" t="s">
        <v>832</v>
      </c>
      <c r="D130" s="107" t="s">
        <v>42</v>
      </c>
      <c r="F130" s="108">
        <v>0.6100000000000001</v>
      </c>
      <c r="G130" s="215"/>
      <c r="K130" s="109"/>
    </row>
    <row r="131" spans="1:11" ht="25.5">
      <c r="A131" s="105"/>
      <c r="C131" s="106" t="s">
        <v>314</v>
      </c>
      <c r="D131" s="107" t="s">
        <v>75</v>
      </c>
      <c r="F131" s="108">
        <v>4.32</v>
      </c>
      <c r="G131" s="215"/>
      <c r="K131" s="109"/>
    </row>
    <row r="132" spans="1:11" ht="15">
      <c r="A132" s="105"/>
      <c r="C132" s="106" t="s">
        <v>106</v>
      </c>
      <c r="D132" s="107" t="s">
        <v>42</v>
      </c>
      <c r="F132" s="108">
        <v>0.46</v>
      </c>
      <c r="G132" s="215"/>
      <c r="K132" s="109"/>
    </row>
    <row r="133" spans="1:11" ht="15">
      <c r="A133" s="105"/>
      <c r="C133" s="106" t="s">
        <v>827</v>
      </c>
      <c r="D133" s="107" t="s">
        <v>103</v>
      </c>
      <c r="F133" s="108">
        <v>4.840000000000001</v>
      </c>
      <c r="G133" s="215"/>
      <c r="K133" s="109"/>
    </row>
    <row r="134" spans="1:11" ht="15">
      <c r="A134" s="105"/>
      <c r="C134" s="106" t="s">
        <v>216</v>
      </c>
      <c r="D134" s="107" t="s">
        <v>768</v>
      </c>
      <c r="F134" s="108">
        <v>0.49000000000000005</v>
      </c>
      <c r="G134" s="215"/>
      <c r="K134" s="109"/>
    </row>
    <row r="135" spans="1:11" ht="15">
      <c r="A135" s="105"/>
      <c r="C135" s="106" t="s">
        <v>138</v>
      </c>
      <c r="D135" s="107" t="s">
        <v>219</v>
      </c>
      <c r="F135" s="108">
        <v>0.7000000000000001</v>
      </c>
      <c r="G135" s="215"/>
      <c r="K135" s="109"/>
    </row>
    <row r="136" spans="1:75" ht="15">
      <c r="A136" s="23" t="s">
        <v>507</v>
      </c>
      <c r="B136" s="19" t="s">
        <v>826</v>
      </c>
      <c r="C136" s="135" t="s">
        <v>744</v>
      </c>
      <c r="D136" s="135"/>
      <c r="E136" s="19" t="s">
        <v>819</v>
      </c>
      <c r="F136" s="102">
        <f>'Stavební rozpočet'!F136</f>
        <v>450.31</v>
      </c>
      <c r="G136" s="214">
        <f>'Stavební rozpočet'!G136</f>
        <v>0</v>
      </c>
      <c r="H136" s="102">
        <f>F136*AO136</f>
        <v>0</v>
      </c>
      <c r="I136" s="102">
        <f>F136*AP136</f>
        <v>0</v>
      </c>
      <c r="J136" s="102">
        <f>F136*G136</f>
        <v>0</v>
      </c>
      <c r="K136" s="103" t="s">
        <v>406</v>
      </c>
      <c r="Z136" s="102">
        <f>IF(AQ136="5",BJ136,0)</f>
        <v>0</v>
      </c>
      <c r="AB136" s="102">
        <f>IF(AQ136="1",BH136,0)</f>
        <v>0</v>
      </c>
      <c r="AC136" s="102">
        <f>IF(AQ136="1",BI136,0)</f>
        <v>0</v>
      </c>
      <c r="AD136" s="102">
        <f>IF(AQ136="7",BH136,0)</f>
        <v>0</v>
      </c>
      <c r="AE136" s="102">
        <f>IF(AQ136="7",BI136,0)</f>
        <v>0</v>
      </c>
      <c r="AF136" s="102">
        <f>IF(AQ136="2",BH136,0)</f>
        <v>0</v>
      </c>
      <c r="AG136" s="102">
        <f>IF(AQ136="2",BI136,0)</f>
        <v>0</v>
      </c>
      <c r="AH136" s="102">
        <f>IF(AQ136="0",BJ136,0)</f>
        <v>0</v>
      </c>
      <c r="AI136" s="87" t="s">
        <v>566</v>
      </c>
      <c r="AJ136" s="102">
        <f>IF(AN136=0,J136,0)</f>
        <v>0</v>
      </c>
      <c r="AK136" s="102">
        <f>IF(AN136=12,J136,0)</f>
        <v>0</v>
      </c>
      <c r="AL136" s="102">
        <f>IF(AN136=21,J136,0)</f>
        <v>0</v>
      </c>
      <c r="AN136" s="102">
        <v>21</v>
      </c>
      <c r="AO136" s="102">
        <f>G136*0</f>
        <v>0</v>
      </c>
      <c r="AP136" s="102">
        <f>G136*(1-0)</f>
        <v>0</v>
      </c>
      <c r="AQ136" s="104" t="s">
        <v>831</v>
      </c>
      <c r="AV136" s="102">
        <f>AW136+AX136</f>
        <v>0</v>
      </c>
      <c r="AW136" s="102">
        <f>F136*AO136</f>
        <v>0</v>
      </c>
      <c r="AX136" s="102">
        <f>F136*AP136</f>
        <v>0</v>
      </c>
      <c r="AY136" s="104" t="s">
        <v>527</v>
      </c>
      <c r="AZ136" s="104" t="s">
        <v>912</v>
      </c>
      <c r="BA136" s="87" t="s">
        <v>870</v>
      </c>
      <c r="BC136" s="102">
        <f>AW136+AX136</f>
        <v>0</v>
      </c>
      <c r="BD136" s="102">
        <f>G136/(100-BE136)*100</f>
        <v>0</v>
      </c>
      <c r="BE136" s="102">
        <v>0</v>
      </c>
      <c r="BF136" s="102">
        <f>136</f>
        <v>136</v>
      </c>
      <c r="BH136" s="102">
        <f>F136*AO136</f>
        <v>0</v>
      </c>
      <c r="BI136" s="102">
        <f>F136*AP136</f>
        <v>0</v>
      </c>
      <c r="BJ136" s="102">
        <f>F136*G136</f>
        <v>0</v>
      </c>
      <c r="BK136" s="102"/>
      <c r="BL136" s="102">
        <v>762</v>
      </c>
      <c r="BW136" s="102">
        <v>21</v>
      </c>
    </row>
    <row r="137" spans="1:11" ht="15">
      <c r="A137" s="105"/>
      <c r="C137" s="106" t="s">
        <v>227</v>
      </c>
      <c r="D137" s="107" t="s">
        <v>385</v>
      </c>
      <c r="F137" s="108">
        <v>0</v>
      </c>
      <c r="G137" s="215"/>
      <c r="K137" s="109"/>
    </row>
    <row r="138" spans="1:11" ht="15">
      <c r="A138" s="105"/>
      <c r="C138" s="106" t="s">
        <v>904</v>
      </c>
      <c r="D138" s="107" t="s">
        <v>577</v>
      </c>
      <c r="F138" s="108">
        <v>31.500000000000004</v>
      </c>
      <c r="G138" s="215"/>
      <c r="K138" s="109"/>
    </row>
    <row r="139" spans="1:11" ht="15">
      <c r="A139" s="105"/>
      <c r="C139" s="106" t="s">
        <v>152</v>
      </c>
      <c r="D139" s="107" t="s">
        <v>577</v>
      </c>
      <c r="F139" s="108">
        <v>9.600000000000001</v>
      </c>
      <c r="G139" s="215"/>
      <c r="K139" s="109"/>
    </row>
    <row r="140" spans="1:11" ht="15">
      <c r="A140" s="105"/>
      <c r="C140" s="106" t="s">
        <v>184</v>
      </c>
      <c r="D140" s="107" t="s">
        <v>577</v>
      </c>
      <c r="F140" s="108">
        <v>15.600000000000001</v>
      </c>
      <c r="G140" s="215"/>
      <c r="K140" s="109"/>
    </row>
    <row r="141" spans="1:11" ht="15">
      <c r="A141" s="105"/>
      <c r="C141" s="106" t="s">
        <v>7</v>
      </c>
      <c r="D141" s="107" t="s">
        <v>577</v>
      </c>
      <c r="F141" s="108">
        <v>24.12</v>
      </c>
      <c r="G141" s="215"/>
      <c r="K141" s="109"/>
    </row>
    <row r="142" spans="1:11" ht="15">
      <c r="A142" s="105"/>
      <c r="C142" s="106" t="s">
        <v>283</v>
      </c>
      <c r="D142" s="107" t="s">
        <v>577</v>
      </c>
      <c r="F142" s="108">
        <v>31.680000000000003</v>
      </c>
      <c r="G142" s="215"/>
      <c r="K142" s="109"/>
    </row>
    <row r="143" spans="1:11" ht="15">
      <c r="A143" s="105"/>
      <c r="C143" s="106" t="s">
        <v>84</v>
      </c>
      <c r="D143" s="107" t="s">
        <v>577</v>
      </c>
      <c r="F143" s="108">
        <v>93.80000000000001</v>
      </c>
      <c r="G143" s="215"/>
      <c r="K143" s="109"/>
    </row>
    <row r="144" spans="1:11" ht="15">
      <c r="A144" s="105"/>
      <c r="C144" s="106" t="s">
        <v>788</v>
      </c>
      <c r="D144" s="107" t="s">
        <v>577</v>
      </c>
      <c r="F144" s="108">
        <v>14.4</v>
      </c>
      <c r="G144" s="215"/>
      <c r="K144" s="109"/>
    </row>
    <row r="145" spans="1:11" ht="15">
      <c r="A145" s="105"/>
      <c r="C145" s="106" t="s">
        <v>558</v>
      </c>
      <c r="D145" s="107" t="s">
        <v>577</v>
      </c>
      <c r="F145" s="108">
        <v>40.56</v>
      </c>
      <c r="G145" s="215"/>
      <c r="K145" s="109"/>
    </row>
    <row r="146" spans="1:11" ht="15">
      <c r="A146" s="105"/>
      <c r="C146" s="106" t="s">
        <v>725</v>
      </c>
      <c r="D146" s="107" t="s">
        <v>577</v>
      </c>
      <c r="F146" s="108">
        <v>11.520000000000001</v>
      </c>
      <c r="G146" s="215"/>
      <c r="K146" s="109"/>
    </row>
    <row r="147" spans="1:11" ht="15">
      <c r="A147" s="105"/>
      <c r="C147" s="106" t="s">
        <v>180</v>
      </c>
      <c r="D147" s="107" t="s">
        <v>577</v>
      </c>
      <c r="F147" s="108">
        <v>0</v>
      </c>
      <c r="G147" s="215"/>
      <c r="K147" s="109"/>
    </row>
    <row r="148" spans="1:11" ht="15">
      <c r="A148" s="105"/>
      <c r="C148" s="106" t="s">
        <v>458</v>
      </c>
      <c r="D148" s="107" t="s">
        <v>577</v>
      </c>
      <c r="F148" s="108">
        <v>6.010000000000001</v>
      </c>
      <c r="G148" s="215"/>
      <c r="K148" s="109"/>
    </row>
    <row r="149" spans="1:11" ht="15">
      <c r="A149" s="105"/>
      <c r="C149" s="106" t="s">
        <v>89</v>
      </c>
      <c r="D149" s="107" t="s">
        <v>577</v>
      </c>
      <c r="F149" s="108">
        <v>6.48</v>
      </c>
      <c r="G149" s="215"/>
      <c r="K149" s="109"/>
    </row>
    <row r="150" spans="1:11" ht="15">
      <c r="A150" s="105"/>
      <c r="C150" s="106" t="s">
        <v>560</v>
      </c>
      <c r="D150" s="107" t="s">
        <v>577</v>
      </c>
      <c r="F150" s="108">
        <v>8.64</v>
      </c>
      <c r="G150" s="215"/>
      <c r="K150" s="109"/>
    </row>
    <row r="151" spans="1:11" ht="15">
      <c r="A151" s="105"/>
      <c r="C151" s="106" t="s">
        <v>928</v>
      </c>
      <c r="D151" s="107" t="s">
        <v>577</v>
      </c>
      <c r="F151" s="108">
        <v>10.360000000000001</v>
      </c>
      <c r="G151" s="215"/>
      <c r="K151" s="109"/>
    </row>
    <row r="152" spans="1:11" ht="15">
      <c r="A152" s="105"/>
      <c r="C152" s="106" t="s">
        <v>681</v>
      </c>
      <c r="D152" s="107" t="s">
        <v>577</v>
      </c>
      <c r="F152" s="108">
        <v>4.2</v>
      </c>
      <c r="G152" s="215"/>
      <c r="K152" s="109"/>
    </row>
    <row r="153" spans="1:11" ht="15">
      <c r="A153" s="105"/>
      <c r="C153" s="106" t="s">
        <v>905</v>
      </c>
      <c r="D153" s="107" t="s">
        <v>577</v>
      </c>
      <c r="F153" s="108">
        <v>5.720000000000001</v>
      </c>
      <c r="G153" s="215"/>
      <c r="K153" s="109"/>
    </row>
    <row r="154" spans="1:11" ht="15">
      <c r="A154" s="105"/>
      <c r="C154" s="106" t="s">
        <v>176</v>
      </c>
      <c r="D154" s="107" t="s">
        <v>577</v>
      </c>
      <c r="F154" s="108">
        <v>0</v>
      </c>
      <c r="G154" s="215"/>
      <c r="K154" s="109"/>
    </row>
    <row r="155" spans="1:11" ht="15">
      <c r="A155" s="105"/>
      <c r="C155" s="106" t="s">
        <v>685</v>
      </c>
      <c r="D155" s="107" t="s">
        <v>577</v>
      </c>
      <c r="F155" s="108">
        <v>12.000000000000002</v>
      </c>
      <c r="G155" s="215"/>
      <c r="K155" s="109"/>
    </row>
    <row r="156" spans="1:11" ht="15">
      <c r="A156" s="105"/>
      <c r="C156" s="106" t="s">
        <v>190</v>
      </c>
      <c r="D156" s="107" t="s">
        <v>577</v>
      </c>
      <c r="F156" s="108">
        <v>5.12</v>
      </c>
      <c r="G156" s="215"/>
      <c r="K156" s="109"/>
    </row>
    <row r="157" spans="1:11" ht="15">
      <c r="A157" s="105"/>
      <c r="C157" s="106" t="s">
        <v>422</v>
      </c>
      <c r="D157" s="107" t="s">
        <v>577</v>
      </c>
      <c r="F157" s="108">
        <v>3.2</v>
      </c>
      <c r="G157" s="215"/>
      <c r="K157" s="109"/>
    </row>
    <row r="158" spans="1:11" ht="15">
      <c r="A158" s="105"/>
      <c r="C158" s="106" t="s">
        <v>36</v>
      </c>
      <c r="D158" s="107" t="s">
        <v>577</v>
      </c>
      <c r="F158" s="108">
        <v>6.840000000000001</v>
      </c>
      <c r="G158" s="215"/>
      <c r="K158" s="109"/>
    </row>
    <row r="159" spans="1:11" ht="15">
      <c r="A159" s="105"/>
      <c r="C159" s="106" t="s">
        <v>573</v>
      </c>
      <c r="D159" s="107" t="s">
        <v>577</v>
      </c>
      <c r="F159" s="108">
        <v>10.24</v>
      </c>
      <c r="G159" s="215"/>
      <c r="K159" s="109"/>
    </row>
    <row r="160" spans="1:11" ht="15">
      <c r="A160" s="105"/>
      <c r="C160" s="106" t="s">
        <v>671</v>
      </c>
      <c r="D160" s="107" t="s">
        <v>577</v>
      </c>
      <c r="F160" s="108">
        <v>2.8800000000000003</v>
      </c>
      <c r="G160" s="215"/>
      <c r="K160" s="109"/>
    </row>
    <row r="161" spans="1:11" ht="15">
      <c r="A161" s="105"/>
      <c r="C161" s="106" t="s">
        <v>452</v>
      </c>
      <c r="D161" s="107" t="s">
        <v>577</v>
      </c>
      <c r="F161" s="108">
        <v>41.6</v>
      </c>
      <c r="G161" s="215"/>
      <c r="K161" s="109"/>
    </row>
    <row r="162" spans="1:11" ht="15">
      <c r="A162" s="105"/>
      <c r="C162" s="106" t="s">
        <v>615</v>
      </c>
      <c r="D162" s="107" t="s">
        <v>577</v>
      </c>
      <c r="F162" s="108">
        <v>24.000000000000004</v>
      </c>
      <c r="G162" s="215"/>
      <c r="K162" s="109"/>
    </row>
    <row r="163" spans="1:11" ht="15">
      <c r="A163" s="105"/>
      <c r="C163" s="106" t="s">
        <v>229</v>
      </c>
      <c r="D163" s="107" t="s">
        <v>577</v>
      </c>
      <c r="F163" s="108">
        <v>30.240000000000002</v>
      </c>
      <c r="G163" s="215"/>
      <c r="K163" s="109"/>
    </row>
    <row r="164" spans="1:75" ht="15">
      <c r="A164" s="23" t="s">
        <v>540</v>
      </c>
      <c r="B164" s="19" t="s">
        <v>104</v>
      </c>
      <c r="C164" s="135" t="s">
        <v>15</v>
      </c>
      <c r="D164" s="135"/>
      <c r="E164" s="19" t="s">
        <v>695</v>
      </c>
      <c r="F164" s="102">
        <f>'Stavební rozpočet'!F164</f>
        <v>550.18</v>
      </c>
      <c r="G164" s="214">
        <f>'Stavební rozpočet'!G164</f>
        <v>0</v>
      </c>
      <c r="H164" s="102">
        <f>F164*AO164</f>
        <v>0</v>
      </c>
      <c r="I164" s="102">
        <f>F164*AP164</f>
        <v>0</v>
      </c>
      <c r="J164" s="102">
        <f>F164*G164</f>
        <v>0</v>
      </c>
      <c r="K164" s="103" t="s">
        <v>406</v>
      </c>
      <c r="Z164" s="102">
        <f>IF(AQ164="5",BJ164,0)</f>
        <v>0</v>
      </c>
      <c r="AB164" s="102">
        <f>IF(AQ164="1",BH164,0)</f>
        <v>0</v>
      </c>
      <c r="AC164" s="102">
        <f>IF(AQ164="1",BI164,0)</f>
        <v>0</v>
      </c>
      <c r="AD164" s="102">
        <f>IF(AQ164="7",BH164,0)</f>
        <v>0</v>
      </c>
      <c r="AE164" s="102">
        <f>IF(AQ164="7",BI164,0)</f>
        <v>0</v>
      </c>
      <c r="AF164" s="102">
        <f>IF(AQ164="2",BH164,0)</f>
        <v>0</v>
      </c>
      <c r="AG164" s="102">
        <f>IF(AQ164="2",BI164,0)</f>
        <v>0</v>
      </c>
      <c r="AH164" s="102">
        <f>IF(AQ164="0",BJ164,0)</f>
        <v>0</v>
      </c>
      <c r="AI164" s="87" t="s">
        <v>566</v>
      </c>
      <c r="AJ164" s="102">
        <f>IF(AN164=0,J164,0)</f>
        <v>0</v>
      </c>
      <c r="AK164" s="102">
        <f>IF(AN164=12,J164,0)</f>
        <v>0</v>
      </c>
      <c r="AL164" s="102">
        <f>IF(AN164=21,J164,0)</f>
        <v>0</v>
      </c>
      <c r="AN164" s="102">
        <v>21</v>
      </c>
      <c r="AO164" s="102">
        <f>G164*0</f>
        <v>0</v>
      </c>
      <c r="AP164" s="102">
        <f>G164*(1-0)</f>
        <v>0</v>
      </c>
      <c r="AQ164" s="104" t="s">
        <v>831</v>
      </c>
      <c r="AV164" s="102">
        <f>AW164+AX164</f>
        <v>0</v>
      </c>
      <c r="AW164" s="102">
        <f>F164*AO164</f>
        <v>0</v>
      </c>
      <c r="AX164" s="102">
        <f>F164*AP164</f>
        <v>0</v>
      </c>
      <c r="AY164" s="104" t="s">
        <v>527</v>
      </c>
      <c r="AZ164" s="104" t="s">
        <v>912</v>
      </c>
      <c r="BA164" s="87" t="s">
        <v>870</v>
      </c>
      <c r="BC164" s="102">
        <f>AW164+AX164</f>
        <v>0</v>
      </c>
      <c r="BD164" s="102">
        <f>G164/(100-BE164)*100</f>
        <v>0</v>
      </c>
      <c r="BE164" s="102">
        <v>0</v>
      </c>
      <c r="BF164" s="102">
        <f>164</f>
        <v>164</v>
      </c>
      <c r="BH164" s="102">
        <f>F164*AO164</f>
        <v>0</v>
      </c>
      <c r="BI164" s="102">
        <f>F164*AP164</f>
        <v>0</v>
      </c>
      <c r="BJ164" s="102">
        <f>F164*G164</f>
        <v>0</v>
      </c>
      <c r="BK164" s="102"/>
      <c r="BL164" s="102">
        <v>762</v>
      </c>
      <c r="BW164" s="102">
        <v>21</v>
      </c>
    </row>
    <row r="165" spans="1:11" ht="15">
      <c r="A165" s="105"/>
      <c r="C165" s="106" t="s">
        <v>356</v>
      </c>
      <c r="D165" s="107" t="s">
        <v>595</v>
      </c>
      <c r="F165" s="108">
        <v>452.02000000000004</v>
      </c>
      <c r="G165" s="215"/>
      <c r="K165" s="109"/>
    </row>
    <row r="166" spans="1:11" ht="15">
      <c r="A166" s="105"/>
      <c r="C166" s="106" t="s">
        <v>353</v>
      </c>
      <c r="D166" s="107" t="s">
        <v>42</v>
      </c>
      <c r="F166" s="108">
        <v>98.16000000000001</v>
      </c>
      <c r="G166" s="215"/>
      <c r="K166" s="109"/>
    </row>
    <row r="167" spans="1:75" ht="15">
      <c r="A167" s="23" t="s">
        <v>325</v>
      </c>
      <c r="B167" s="19" t="s">
        <v>688</v>
      </c>
      <c r="C167" s="135" t="s">
        <v>773</v>
      </c>
      <c r="D167" s="135"/>
      <c r="E167" s="19" t="s">
        <v>695</v>
      </c>
      <c r="F167" s="102">
        <f>'Stavební rozpočet'!F167</f>
        <v>36.9</v>
      </c>
      <c r="G167" s="214">
        <f>'Stavební rozpočet'!G167</f>
        <v>0</v>
      </c>
      <c r="H167" s="102">
        <f>F167*AO167</f>
        <v>0</v>
      </c>
      <c r="I167" s="102">
        <f>F167*AP167</f>
        <v>0</v>
      </c>
      <c r="J167" s="102">
        <f>F167*G167</f>
        <v>0</v>
      </c>
      <c r="K167" s="103" t="s">
        <v>406</v>
      </c>
      <c r="Z167" s="102">
        <f>IF(AQ167="5",BJ167,0)</f>
        <v>0</v>
      </c>
      <c r="AB167" s="102">
        <f>IF(AQ167="1",BH167,0)</f>
        <v>0</v>
      </c>
      <c r="AC167" s="102">
        <f>IF(AQ167="1",BI167,0)</f>
        <v>0</v>
      </c>
      <c r="AD167" s="102">
        <f>IF(AQ167="7",BH167,0)</f>
        <v>0</v>
      </c>
      <c r="AE167" s="102">
        <f>IF(AQ167="7",BI167,0)</f>
        <v>0</v>
      </c>
      <c r="AF167" s="102">
        <f>IF(AQ167="2",BH167,0)</f>
        <v>0</v>
      </c>
      <c r="AG167" s="102">
        <f>IF(AQ167="2",BI167,0)</f>
        <v>0</v>
      </c>
      <c r="AH167" s="102">
        <f>IF(AQ167="0",BJ167,0)</f>
        <v>0</v>
      </c>
      <c r="AI167" s="87" t="s">
        <v>566</v>
      </c>
      <c r="AJ167" s="102">
        <f>IF(AN167=0,J167,0)</f>
        <v>0</v>
      </c>
      <c r="AK167" s="102">
        <f>IF(AN167=12,J167,0)</f>
        <v>0</v>
      </c>
      <c r="AL167" s="102">
        <f>IF(AN167=21,J167,0)</f>
        <v>0</v>
      </c>
      <c r="AN167" s="102">
        <v>21</v>
      </c>
      <c r="AO167" s="102">
        <f>G167*0</f>
        <v>0</v>
      </c>
      <c r="AP167" s="102">
        <f>G167*(1-0)</f>
        <v>0</v>
      </c>
      <c r="AQ167" s="104" t="s">
        <v>831</v>
      </c>
      <c r="AV167" s="102">
        <f>AW167+AX167</f>
        <v>0</v>
      </c>
      <c r="AW167" s="102">
        <f>F167*AO167</f>
        <v>0</v>
      </c>
      <c r="AX167" s="102">
        <f>F167*AP167</f>
        <v>0</v>
      </c>
      <c r="AY167" s="104" t="s">
        <v>527</v>
      </c>
      <c r="AZ167" s="104" t="s">
        <v>912</v>
      </c>
      <c r="BA167" s="87" t="s">
        <v>870</v>
      </c>
      <c r="BC167" s="102">
        <f>AW167+AX167</f>
        <v>0</v>
      </c>
      <c r="BD167" s="102">
        <f>G167/(100-BE167)*100</f>
        <v>0</v>
      </c>
      <c r="BE167" s="102">
        <v>0</v>
      </c>
      <c r="BF167" s="102">
        <f>167</f>
        <v>167</v>
      </c>
      <c r="BH167" s="102">
        <f>F167*AO167</f>
        <v>0</v>
      </c>
      <c r="BI167" s="102">
        <f>F167*AP167</f>
        <v>0</v>
      </c>
      <c r="BJ167" s="102">
        <f>F167*G167</f>
        <v>0</v>
      </c>
      <c r="BK167" s="102"/>
      <c r="BL167" s="102">
        <v>762</v>
      </c>
      <c r="BW167" s="102">
        <v>21</v>
      </c>
    </row>
    <row r="168" spans="1:11" ht="15">
      <c r="A168" s="105"/>
      <c r="C168" s="106" t="s">
        <v>137</v>
      </c>
      <c r="D168" s="107" t="s">
        <v>595</v>
      </c>
      <c r="F168" s="108">
        <v>14.9</v>
      </c>
      <c r="G168" s="215"/>
      <c r="K168" s="109"/>
    </row>
    <row r="169" spans="1:11" ht="15">
      <c r="A169" s="105"/>
      <c r="C169" s="106" t="s">
        <v>352</v>
      </c>
      <c r="D169" s="107" t="s">
        <v>42</v>
      </c>
      <c r="F169" s="108">
        <v>22.000000000000004</v>
      </c>
      <c r="G169" s="215"/>
      <c r="K169" s="109"/>
    </row>
    <row r="170" spans="1:75" ht="15">
      <c r="A170" s="23" t="s">
        <v>820</v>
      </c>
      <c r="B170" s="19" t="s">
        <v>146</v>
      </c>
      <c r="C170" s="135" t="s">
        <v>759</v>
      </c>
      <c r="D170" s="135"/>
      <c r="E170" s="19" t="s">
        <v>695</v>
      </c>
      <c r="F170" s="102">
        <f>'Stavební rozpočet'!F170</f>
        <v>123.91</v>
      </c>
      <c r="G170" s="214">
        <f>'Stavební rozpočet'!G170</f>
        <v>0</v>
      </c>
      <c r="H170" s="102">
        <f>F170*AO170</f>
        <v>0</v>
      </c>
      <c r="I170" s="102">
        <f>F170*AP170</f>
        <v>0</v>
      </c>
      <c r="J170" s="102">
        <f>F170*G170</f>
        <v>0</v>
      </c>
      <c r="K170" s="103" t="s">
        <v>406</v>
      </c>
      <c r="Z170" s="102">
        <f>IF(AQ170="5",BJ170,0)</f>
        <v>0</v>
      </c>
      <c r="AB170" s="102">
        <f>IF(AQ170="1",BH170,0)</f>
        <v>0</v>
      </c>
      <c r="AC170" s="102">
        <f>IF(AQ170="1",BI170,0)</f>
        <v>0</v>
      </c>
      <c r="AD170" s="102">
        <f>IF(AQ170="7",BH170,0)</f>
        <v>0</v>
      </c>
      <c r="AE170" s="102">
        <f>IF(AQ170="7",BI170,0)</f>
        <v>0</v>
      </c>
      <c r="AF170" s="102">
        <f>IF(AQ170="2",BH170,0)</f>
        <v>0</v>
      </c>
      <c r="AG170" s="102">
        <f>IF(AQ170="2",BI170,0)</f>
        <v>0</v>
      </c>
      <c r="AH170" s="102">
        <f>IF(AQ170="0",BJ170,0)</f>
        <v>0</v>
      </c>
      <c r="AI170" s="87" t="s">
        <v>566</v>
      </c>
      <c r="AJ170" s="102">
        <f>IF(AN170=0,J170,0)</f>
        <v>0</v>
      </c>
      <c r="AK170" s="102">
        <f>IF(AN170=12,J170,0)</f>
        <v>0</v>
      </c>
      <c r="AL170" s="102">
        <f>IF(AN170=21,J170,0)</f>
        <v>0</v>
      </c>
      <c r="AN170" s="102">
        <v>21</v>
      </c>
      <c r="AO170" s="102">
        <f>G170*0</f>
        <v>0</v>
      </c>
      <c r="AP170" s="102">
        <f>G170*(1-0)</f>
        <v>0</v>
      </c>
      <c r="AQ170" s="104" t="s">
        <v>831</v>
      </c>
      <c r="AV170" s="102">
        <f>AW170+AX170</f>
        <v>0</v>
      </c>
      <c r="AW170" s="102">
        <f>F170*AO170</f>
        <v>0</v>
      </c>
      <c r="AX170" s="102">
        <f>F170*AP170</f>
        <v>0</v>
      </c>
      <c r="AY170" s="104" t="s">
        <v>527</v>
      </c>
      <c r="AZ170" s="104" t="s">
        <v>912</v>
      </c>
      <c r="BA170" s="87" t="s">
        <v>870</v>
      </c>
      <c r="BC170" s="102">
        <f>AW170+AX170</f>
        <v>0</v>
      </c>
      <c r="BD170" s="102">
        <f>G170/(100-BE170)*100</f>
        <v>0</v>
      </c>
      <c r="BE170" s="102">
        <v>0</v>
      </c>
      <c r="BF170" s="102">
        <f>170</f>
        <v>170</v>
      </c>
      <c r="BH170" s="102">
        <f>F170*AO170</f>
        <v>0</v>
      </c>
      <c r="BI170" s="102">
        <f>F170*AP170</f>
        <v>0</v>
      </c>
      <c r="BJ170" s="102">
        <f>F170*G170</f>
        <v>0</v>
      </c>
      <c r="BK170" s="102"/>
      <c r="BL170" s="102">
        <v>762</v>
      </c>
      <c r="BW170" s="102">
        <v>21</v>
      </c>
    </row>
    <row r="171" spans="1:11" ht="15">
      <c r="A171" s="105"/>
      <c r="C171" s="106" t="s">
        <v>252</v>
      </c>
      <c r="D171" s="107" t="s">
        <v>20</v>
      </c>
      <c r="F171" s="108">
        <v>111.01</v>
      </c>
      <c r="G171" s="215"/>
      <c r="K171" s="109"/>
    </row>
    <row r="172" spans="1:11" ht="15">
      <c r="A172" s="105"/>
      <c r="C172" s="106" t="s">
        <v>278</v>
      </c>
      <c r="D172" s="107" t="s">
        <v>42</v>
      </c>
      <c r="F172" s="108">
        <v>12.9</v>
      </c>
      <c r="G172" s="215"/>
      <c r="K172" s="109"/>
    </row>
    <row r="173" spans="1:75" ht="15">
      <c r="A173" s="23" t="s">
        <v>168</v>
      </c>
      <c r="B173" s="19" t="s">
        <v>337</v>
      </c>
      <c r="C173" s="135" t="s">
        <v>243</v>
      </c>
      <c r="D173" s="135"/>
      <c r="E173" s="19" t="s">
        <v>415</v>
      </c>
      <c r="F173" s="102">
        <f>'Stavební rozpočet'!F173</f>
        <v>18.56</v>
      </c>
      <c r="G173" s="214">
        <f>'Stavební rozpočet'!G173</f>
        <v>0</v>
      </c>
      <c r="H173" s="102">
        <f>F173*AO173</f>
        <v>0</v>
      </c>
      <c r="I173" s="102">
        <f>F173*AP173</f>
        <v>0</v>
      </c>
      <c r="J173" s="102">
        <f>F173*G173</f>
        <v>0</v>
      </c>
      <c r="K173" s="103" t="s">
        <v>406</v>
      </c>
      <c r="Z173" s="102">
        <f>IF(AQ173="5",BJ173,0)</f>
        <v>0</v>
      </c>
      <c r="AB173" s="102">
        <f>IF(AQ173="1",BH173,0)</f>
        <v>0</v>
      </c>
      <c r="AC173" s="102">
        <f>IF(AQ173="1",BI173,0)</f>
        <v>0</v>
      </c>
      <c r="AD173" s="102">
        <f>IF(AQ173="7",BH173,0)</f>
        <v>0</v>
      </c>
      <c r="AE173" s="102">
        <f>IF(AQ173="7",BI173,0)</f>
        <v>0</v>
      </c>
      <c r="AF173" s="102">
        <f>IF(AQ173="2",BH173,0)</f>
        <v>0</v>
      </c>
      <c r="AG173" s="102">
        <f>IF(AQ173="2",BI173,0)</f>
        <v>0</v>
      </c>
      <c r="AH173" s="102">
        <f>IF(AQ173="0",BJ173,0)</f>
        <v>0</v>
      </c>
      <c r="AI173" s="87" t="s">
        <v>566</v>
      </c>
      <c r="AJ173" s="102">
        <f>IF(AN173=0,J173,0)</f>
        <v>0</v>
      </c>
      <c r="AK173" s="102">
        <f>IF(AN173=12,J173,0)</f>
        <v>0</v>
      </c>
      <c r="AL173" s="102">
        <f>IF(AN173=21,J173,0)</f>
        <v>0</v>
      </c>
      <c r="AN173" s="102">
        <v>21</v>
      </c>
      <c r="AO173" s="102">
        <f>G173*0</f>
        <v>0</v>
      </c>
      <c r="AP173" s="102">
        <f>G173*(1-0)</f>
        <v>0</v>
      </c>
      <c r="AQ173" s="104" t="s">
        <v>461</v>
      </c>
      <c r="AV173" s="102">
        <f>AW173+AX173</f>
        <v>0</v>
      </c>
      <c r="AW173" s="102">
        <f>F173*AO173</f>
        <v>0</v>
      </c>
      <c r="AX173" s="102">
        <f>F173*AP173</f>
        <v>0</v>
      </c>
      <c r="AY173" s="104" t="s">
        <v>527</v>
      </c>
      <c r="AZ173" s="104" t="s">
        <v>912</v>
      </c>
      <c r="BA173" s="87" t="s">
        <v>870</v>
      </c>
      <c r="BC173" s="102">
        <f>AW173+AX173</f>
        <v>0</v>
      </c>
      <c r="BD173" s="102">
        <f>G173/(100-BE173)*100</f>
        <v>0</v>
      </c>
      <c r="BE173" s="102">
        <v>0</v>
      </c>
      <c r="BF173" s="102">
        <f>173</f>
        <v>173</v>
      </c>
      <c r="BH173" s="102">
        <f>F173*AO173</f>
        <v>0</v>
      </c>
      <c r="BI173" s="102">
        <f>F173*AP173</f>
        <v>0</v>
      </c>
      <c r="BJ173" s="102">
        <f>F173*G173</f>
        <v>0</v>
      </c>
      <c r="BK173" s="102"/>
      <c r="BL173" s="102">
        <v>762</v>
      </c>
      <c r="BW173" s="102">
        <v>21</v>
      </c>
    </row>
    <row r="174" spans="1:47" ht="15">
      <c r="A174" s="99" t="s">
        <v>577</v>
      </c>
      <c r="B174" s="22" t="s">
        <v>77</v>
      </c>
      <c r="C174" s="201" t="s">
        <v>130</v>
      </c>
      <c r="D174" s="201"/>
      <c r="E174" s="100" t="s">
        <v>774</v>
      </c>
      <c r="F174" s="100" t="s">
        <v>774</v>
      </c>
      <c r="G174" s="100" t="s">
        <v>774</v>
      </c>
      <c r="H174" s="82">
        <f>SUM(H175:H242)</f>
        <v>0</v>
      </c>
      <c r="I174" s="82">
        <f>SUM(I175:I242)</f>
        <v>0</v>
      </c>
      <c r="J174" s="82">
        <f>SUM(J175:J242)</f>
        <v>0</v>
      </c>
      <c r="K174" s="101" t="s">
        <v>577</v>
      </c>
      <c r="AI174" s="87" t="s">
        <v>566</v>
      </c>
      <c r="AS174" s="82">
        <f>SUM(AJ175:AJ242)</f>
        <v>0</v>
      </c>
      <c r="AT174" s="82">
        <f>SUM(AK175:AK242)</f>
        <v>0</v>
      </c>
      <c r="AU174" s="82">
        <f>SUM(AL175:AL242)</f>
        <v>0</v>
      </c>
    </row>
    <row r="175" spans="1:75" ht="15">
      <c r="A175" s="23" t="s">
        <v>310</v>
      </c>
      <c r="B175" s="19" t="s">
        <v>453</v>
      </c>
      <c r="C175" s="135" t="s">
        <v>491</v>
      </c>
      <c r="D175" s="135"/>
      <c r="E175" s="19" t="s">
        <v>819</v>
      </c>
      <c r="F175" s="102">
        <f>'Stavební rozpočet'!F175</f>
        <v>22</v>
      </c>
      <c r="G175" s="214">
        <f>'Stavební rozpočet'!G175</f>
        <v>0</v>
      </c>
      <c r="H175" s="102">
        <f>F175*AO175</f>
        <v>0</v>
      </c>
      <c r="I175" s="102">
        <f>F175*AP175</f>
        <v>0</v>
      </c>
      <c r="J175" s="102">
        <f>F175*G175</f>
        <v>0</v>
      </c>
      <c r="K175" s="103" t="s">
        <v>406</v>
      </c>
      <c r="Z175" s="102">
        <f>IF(AQ175="5",BJ175,0)</f>
        <v>0</v>
      </c>
      <c r="AB175" s="102">
        <f>IF(AQ175="1",BH175,0)</f>
        <v>0</v>
      </c>
      <c r="AC175" s="102">
        <f>IF(AQ175="1",BI175,0)</f>
        <v>0</v>
      </c>
      <c r="AD175" s="102">
        <f>IF(AQ175="7",BH175,0)</f>
        <v>0</v>
      </c>
      <c r="AE175" s="102">
        <f>IF(AQ175="7",BI175,0)</f>
        <v>0</v>
      </c>
      <c r="AF175" s="102">
        <f>IF(AQ175="2",BH175,0)</f>
        <v>0</v>
      </c>
      <c r="AG175" s="102">
        <f>IF(AQ175="2",BI175,0)</f>
        <v>0</v>
      </c>
      <c r="AH175" s="102">
        <f>IF(AQ175="0",BJ175,0)</f>
        <v>0</v>
      </c>
      <c r="AI175" s="87" t="s">
        <v>566</v>
      </c>
      <c r="AJ175" s="102">
        <f>IF(AN175=0,J175,0)</f>
        <v>0</v>
      </c>
      <c r="AK175" s="102">
        <f>IF(AN175=12,J175,0)</f>
        <v>0</v>
      </c>
      <c r="AL175" s="102">
        <f>IF(AN175=21,J175,0)</f>
        <v>0</v>
      </c>
      <c r="AN175" s="102">
        <v>21</v>
      </c>
      <c r="AO175" s="102">
        <f>G175*0</f>
        <v>0</v>
      </c>
      <c r="AP175" s="102">
        <f>G175*(1-0)</f>
        <v>0</v>
      </c>
      <c r="AQ175" s="104" t="s">
        <v>831</v>
      </c>
      <c r="AV175" s="102">
        <f>AW175+AX175</f>
        <v>0</v>
      </c>
      <c r="AW175" s="102">
        <f>F175*AO175</f>
        <v>0</v>
      </c>
      <c r="AX175" s="102">
        <f>F175*AP175</f>
        <v>0</v>
      </c>
      <c r="AY175" s="104" t="s">
        <v>678</v>
      </c>
      <c r="AZ175" s="104" t="s">
        <v>912</v>
      </c>
      <c r="BA175" s="87" t="s">
        <v>870</v>
      </c>
      <c r="BC175" s="102">
        <f>AW175+AX175</f>
        <v>0</v>
      </c>
      <c r="BD175" s="102">
        <f>G175/(100-BE175)*100</f>
        <v>0</v>
      </c>
      <c r="BE175" s="102">
        <v>0</v>
      </c>
      <c r="BF175" s="102">
        <f>175</f>
        <v>175</v>
      </c>
      <c r="BH175" s="102">
        <f>F175*AO175</f>
        <v>0</v>
      </c>
      <c r="BI175" s="102">
        <f>F175*AP175</f>
        <v>0</v>
      </c>
      <c r="BJ175" s="102">
        <f>F175*G175</f>
        <v>0</v>
      </c>
      <c r="BK175" s="102"/>
      <c r="BL175" s="102">
        <v>764</v>
      </c>
      <c r="BW175" s="102">
        <v>21</v>
      </c>
    </row>
    <row r="176" spans="1:11" ht="15">
      <c r="A176" s="105"/>
      <c r="C176" s="106" t="s">
        <v>352</v>
      </c>
      <c r="D176" s="107" t="s">
        <v>42</v>
      </c>
      <c r="F176" s="108">
        <v>22.000000000000004</v>
      </c>
      <c r="G176" s="215"/>
      <c r="K176" s="109"/>
    </row>
    <row r="177" spans="1:75" ht="15">
      <c r="A177" s="23" t="s">
        <v>395</v>
      </c>
      <c r="B177" s="19" t="s">
        <v>921</v>
      </c>
      <c r="C177" s="135" t="s">
        <v>280</v>
      </c>
      <c r="D177" s="135"/>
      <c r="E177" s="19" t="s">
        <v>819</v>
      </c>
      <c r="F177" s="102">
        <f>'Stavební rozpočet'!F177</f>
        <v>22</v>
      </c>
      <c r="G177" s="214">
        <f>'Stavební rozpočet'!G177</f>
        <v>0</v>
      </c>
      <c r="H177" s="102">
        <f>F177*AO177</f>
        <v>0</v>
      </c>
      <c r="I177" s="102">
        <f>F177*AP177</f>
        <v>0</v>
      </c>
      <c r="J177" s="102">
        <f>F177*G177</f>
        <v>0</v>
      </c>
      <c r="K177" s="103" t="s">
        <v>406</v>
      </c>
      <c r="Z177" s="102">
        <f>IF(AQ177="5",BJ177,0)</f>
        <v>0</v>
      </c>
      <c r="AB177" s="102">
        <f>IF(AQ177="1",BH177,0)</f>
        <v>0</v>
      </c>
      <c r="AC177" s="102">
        <f>IF(AQ177="1",BI177,0)</f>
        <v>0</v>
      </c>
      <c r="AD177" s="102">
        <f>IF(AQ177="7",BH177,0)</f>
        <v>0</v>
      </c>
      <c r="AE177" s="102">
        <f>IF(AQ177="7",BI177,0)</f>
        <v>0</v>
      </c>
      <c r="AF177" s="102">
        <f>IF(AQ177="2",BH177,0)</f>
        <v>0</v>
      </c>
      <c r="AG177" s="102">
        <f>IF(AQ177="2",BI177,0)</f>
        <v>0</v>
      </c>
      <c r="AH177" s="102">
        <f>IF(AQ177="0",BJ177,0)</f>
        <v>0</v>
      </c>
      <c r="AI177" s="87" t="s">
        <v>566</v>
      </c>
      <c r="AJ177" s="102">
        <f>IF(AN177=0,J177,0)</f>
        <v>0</v>
      </c>
      <c r="AK177" s="102">
        <f>IF(AN177=12,J177,0)</f>
        <v>0</v>
      </c>
      <c r="AL177" s="102">
        <f>IF(AN177=21,J177,0)</f>
        <v>0</v>
      </c>
      <c r="AN177" s="102">
        <v>21</v>
      </c>
      <c r="AO177" s="102">
        <f>G177*0.454224176859796</f>
        <v>0</v>
      </c>
      <c r="AP177" s="102">
        <f>G177*(1-0.454224176859796)</f>
        <v>0</v>
      </c>
      <c r="AQ177" s="104" t="s">
        <v>831</v>
      </c>
      <c r="AV177" s="102">
        <f>AW177+AX177</f>
        <v>0</v>
      </c>
      <c r="AW177" s="102">
        <f>F177*AO177</f>
        <v>0</v>
      </c>
      <c r="AX177" s="102">
        <f>F177*AP177</f>
        <v>0</v>
      </c>
      <c r="AY177" s="104" t="s">
        <v>678</v>
      </c>
      <c r="AZ177" s="104" t="s">
        <v>912</v>
      </c>
      <c r="BA177" s="87" t="s">
        <v>870</v>
      </c>
      <c r="BC177" s="102">
        <f>AW177+AX177</f>
        <v>0</v>
      </c>
      <c r="BD177" s="102">
        <f>G177/(100-BE177)*100</f>
        <v>0</v>
      </c>
      <c r="BE177" s="102">
        <v>0</v>
      </c>
      <c r="BF177" s="102">
        <f>177</f>
        <v>177</v>
      </c>
      <c r="BH177" s="102">
        <f>F177*AO177</f>
        <v>0</v>
      </c>
      <c r="BI177" s="102">
        <f>F177*AP177</f>
        <v>0</v>
      </c>
      <c r="BJ177" s="102">
        <f>F177*G177</f>
        <v>0</v>
      </c>
      <c r="BK177" s="102"/>
      <c r="BL177" s="102">
        <v>764</v>
      </c>
      <c r="BW177" s="102">
        <v>21</v>
      </c>
    </row>
    <row r="178" spans="1:11" ht="15">
      <c r="A178" s="105"/>
      <c r="C178" s="106" t="s">
        <v>352</v>
      </c>
      <c r="D178" s="107" t="s">
        <v>239</v>
      </c>
      <c r="F178" s="108">
        <v>22.000000000000004</v>
      </c>
      <c r="G178" s="215"/>
      <c r="K178" s="109"/>
    </row>
    <row r="179" spans="1:75" ht="15">
      <c r="A179" s="23" t="s">
        <v>324</v>
      </c>
      <c r="B179" s="19" t="s">
        <v>328</v>
      </c>
      <c r="C179" s="135" t="s">
        <v>938</v>
      </c>
      <c r="D179" s="135"/>
      <c r="E179" s="19" t="s">
        <v>819</v>
      </c>
      <c r="F179" s="102">
        <f>'Stavební rozpočet'!F179</f>
        <v>166.35</v>
      </c>
      <c r="G179" s="214">
        <f>'Stavební rozpočet'!G179</f>
        <v>0</v>
      </c>
      <c r="H179" s="102">
        <f>F179*AO179</f>
        <v>0</v>
      </c>
      <c r="I179" s="102">
        <f>F179*AP179</f>
        <v>0</v>
      </c>
      <c r="J179" s="102">
        <f>F179*G179</f>
        <v>0</v>
      </c>
      <c r="K179" s="103" t="s">
        <v>406</v>
      </c>
      <c r="Z179" s="102">
        <f>IF(AQ179="5",BJ179,0)</f>
        <v>0</v>
      </c>
      <c r="AB179" s="102">
        <f>IF(AQ179="1",BH179,0)</f>
        <v>0</v>
      </c>
      <c r="AC179" s="102">
        <f>IF(AQ179="1",BI179,0)</f>
        <v>0</v>
      </c>
      <c r="AD179" s="102">
        <f>IF(AQ179="7",BH179,0)</f>
        <v>0</v>
      </c>
      <c r="AE179" s="102">
        <f>IF(AQ179="7",BI179,0)</f>
        <v>0</v>
      </c>
      <c r="AF179" s="102">
        <f>IF(AQ179="2",BH179,0)</f>
        <v>0</v>
      </c>
      <c r="AG179" s="102">
        <f>IF(AQ179="2",BI179,0)</f>
        <v>0</v>
      </c>
      <c r="AH179" s="102">
        <f>IF(AQ179="0",BJ179,0)</f>
        <v>0</v>
      </c>
      <c r="AI179" s="87" t="s">
        <v>566</v>
      </c>
      <c r="AJ179" s="102">
        <f>IF(AN179=0,J179,0)</f>
        <v>0</v>
      </c>
      <c r="AK179" s="102">
        <f>IF(AN179=12,J179,0)</f>
        <v>0</v>
      </c>
      <c r="AL179" s="102">
        <f>IF(AN179=21,J179,0)</f>
        <v>0</v>
      </c>
      <c r="AN179" s="102">
        <v>21</v>
      </c>
      <c r="AO179" s="102">
        <f>G179*0.591199779856907</f>
        <v>0</v>
      </c>
      <c r="AP179" s="102">
        <f>G179*(1-0.591199779856907)</f>
        <v>0</v>
      </c>
      <c r="AQ179" s="104" t="s">
        <v>831</v>
      </c>
      <c r="AV179" s="102">
        <f>AW179+AX179</f>
        <v>0</v>
      </c>
      <c r="AW179" s="102">
        <f>F179*AO179</f>
        <v>0</v>
      </c>
      <c r="AX179" s="102">
        <f>F179*AP179</f>
        <v>0</v>
      </c>
      <c r="AY179" s="104" t="s">
        <v>678</v>
      </c>
      <c r="AZ179" s="104" t="s">
        <v>912</v>
      </c>
      <c r="BA179" s="87" t="s">
        <v>870</v>
      </c>
      <c r="BC179" s="102">
        <f>AW179+AX179</f>
        <v>0</v>
      </c>
      <c r="BD179" s="102">
        <f>G179/(100-BE179)*100</f>
        <v>0</v>
      </c>
      <c r="BE179" s="102">
        <v>0</v>
      </c>
      <c r="BF179" s="102">
        <f>179</f>
        <v>179</v>
      </c>
      <c r="BH179" s="102">
        <f>F179*AO179</f>
        <v>0</v>
      </c>
      <c r="BI179" s="102">
        <f>F179*AP179</f>
        <v>0</v>
      </c>
      <c r="BJ179" s="102">
        <f>F179*G179</f>
        <v>0</v>
      </c>
      <c r="BK179" s="102"/>
      <c r="BL179" s="102">
        <v>764</v>
      </c>
      <c r="BW179" s="102">
        <v>21</v>
      </c>
    </row>
    <row r="180" spans="1:11" ht="15">
      <c r="A180" s="105"/>
      <c r="C180" s="106" t="s">
        <v>197</v>
      </c>
      <c r="D180" s="107" t="s">
        <v>226</v>
      </c>
      <c r="F180" s="108">
        <v>151.15</v>
      </c>
      <c r="G180" s="215"/>
      <c r="K180" s="109"/>
    </row>
    <row r="181" spans="1:11" ht="15">
      <c r="A181" s="105"/>
      <c r="C181" s="106" t="s">
        <v>294</v>
      </c>
      <c r="D181" s="107" t="s">
        <v>718</v>
      </c>
      <c r="F181" s="108">
        <v>15.200000000000001</v>
      </c>
      <c r="G181" s="215"/>
      <c r="K181" s="109"/>
    </row>
    <row r="182" spans="1:75" ht="15">
      <c r="A182" s="23" t="s">
        <v>677</v>
      </c>
      <c r="B182" s="19" t="s">
        <v>591</v>
      </c>
      <c r="C182" s="135" t="s">
        <v>320</v>
      </c>
      <c r="D182" s="135"/>
      <c r="E182" s="19" t="s">
        <v>224</v>
      </c>
      <c r="F182" s="102">
        <f>'Stavební rozpočet'!F182</f>
        <v>4</v>
      </c>
      <c r="G182" s="214">
        <f>'Stavební rozpočet'!G182</f>
        <v>0</v>
      </c>
      <c r="H182" s="102">
        <f>F182*AO182</f>
        <v>0</v>
      </c>
      <c r="I182" s="102">
        <f>F182*AP182</f>
        <v>0</v>
      </c>
      <c r="J182" s="102">
        <f>F182*G182</f>
        <v>0</v>
      </c>
      <c r="K182" s="103" t="s">
        <v>406</v>
      </c>
      <c r="Z182" s="102">
        <f>IF(AQ182="5",BJ182,0)</f>
        <v>0</v>
      </c>
      <c r="AB182" s="102">
        <f>IF(AQ182="1",BH182,0)</f>
        <v>0</v>
      </c>
      <c r="AC182" s="102">
        <f>IF(AQ182="1",BI182,0)</f>
        <v>0</v>
      </c>
      <c r="AD182" s="102">
        <f>IF(AQ182="7",BH182,0)</f>
        <v>0</v>
      </c>
      <c r="AE182" s="102">
        <f>IF(AQ182="7",BI182,0)</f>
        <v>0</v>
      </c>
      <c r="AF182" s="102">
        <f>IF(AQ182="2",BH182,0)</f>
        <v>0</v>
      </c>
      <c r="AG182" s="102">
        <f>IF(AQ182="2",BI182,0)</f>
        <v>0</v>
      </c>
      <c r="AH182" s="102">
        <f>IF(AQ182="0",BJ182,0)</f>
        <v>0</v>
      </c>
      <c r="AI182" s="87" t="s">
        <v>566</v>
      </c>
      <c r="AJ182" s="102">
        <f>IF(AN182=0,J182,0)</f>
        <v>0</v>
      </c>
      <c r="AK182" s="102">
        <f>IF(AN182=12,J182,0)</f>
        <v>0</v>
      </c>
      <c r="AL182" s="102">
        <f>IF(AN182=21,J182,0)</f>
        <v>0</v>
      </c>
      <c r="AN182" s="102">
        <v>21</v>
      </c>
      <c r="AO182" s="102">
        <f>G182*0</f>
        <v>0</v>
      </c>
      <c r="AP182" s="102">
        <f>G182*(1-0)</f>
        <v>0</v>
      </c>
      <c r="AQ182" s="104" t="s">
        <v>831</v>
      </c>
      <c r="AV182" s="102">
        <f>AW182+AX182</f>
        <v>0</v>
      </c>
      <c r="AW182" s="102">
        <f>F182*AO182</f>
        <v>0</v>
      </c>
      <c r="AX182" s="102">
        <f>F182*AP182</f>
        <v>0</v>
      </c>
      <c r="AY182" s="104" t="s">
        <v>678</v>
      </c>
      <c r="AZ182" s="104" t="s">
        <v>912</v>
      </c>
      <c r="BA182" s="87" t="s">
        <v>870</v>
      </c>
      <c r="BC182" s="102">
        <f>AW182+AX182</f>
        <v>0</v>
      </c>
      <c r="BD182" s="102">
        <f>G182/(100-BE182)*100</f>
        <v>0</v>
      </c>
      <c r="BE182" s="102">
        <v>0</v>
      </c>
      <c r="BF182" s="102">
        <f>182</f>
        <v>182</v>
      </c>
      <c r="BH182" s="102">
        <f>F182*AO182</f>
        <v>0</v>
      </c>
      <c r="BI182" s="102">
        <f>F182*AP182</f>
        <v>0</v>
      </c>
      <c r="BJ182" s="102">
        <f>F182*G182</f>
        <v>0</v>
      </c>
      <c r="BK182" s="102"/>
      <c r="BL182" s="102">
        <v>764</v>
      </c>
      <c r="BW182" s="102">
        <v>21</v>
      </c>
    </row>
    <row r="183" spans="1:11" ht="15">
      <c r="A183" s="105"/>
      <c r="C183" s="106" t="s">
        <v>722</v>
      </c>
      <c r="D183" s="107" t="s">
        <v>571</v>
      </c>
      <c r="F183" s="108">
        <v>4</v>
      </c>
      <c r="G183" s="215"/>
      <c r="K183" s="109"/>
    </row>
    <row r="184" spans="1:75" ht="38.25" customHeight="1">
      <c r="A184" s="23" t="s">
        <v>855</v>
      </c>
      <c r="B184" s="19" t="s">
        <v>478</v>
      </c>
      <c r="C184" s="135" t="s">
        <v>81</v>
      </c>
      <c r="D184" s="135"/>
      <c r="E184" s="19" t="s">
        <v>224</v>
      </c>
      <c r="F184" s="102">
        <f>'Stavební rozpočet'!F184</f>
        <v>4</v>
      </c>
      <c r="G184" s="214">
        <f>'Stavební rozpočet'!G184</f>
        <v>0</v>
      </c>
      <c r="H184" s="102">
        <f>F184*AO184</f>
        <v>0</v>
      </c>
      <c r="I184" s="102">
        <f>F184*AP184</f>
        <v>0</v>
      </c>
      <c r="J184" s="102">
        <f>F184*G184</f>
        <v>0</v>
      </c>
      <c r="K184" s="103" t="s">
        <v>406</v>
      </c>
      <c r="Z184" s="102">
        <f>IF(AQ184="5",BJ184,0)</f>
        <v>0</v>
      </c>
      <c r="AB184" s="102">
        <f>IF(AQ184="1",BH184,0)</f>
        <v>0</v>
      </c>
      <c r="AC184" s="102">
        <f>IF(AQ184="1",BI184,0)</f>
        <v>0</v>
      </c>
      <c r="AD184" s="102">
        <f>IF(AQ184="7",BH184,0)</f>
        <v>0</v>
      </c>
      <c r="AE184" s="102">
        <f>IF(AQ184="7",BI184,0)</f>
        <v>0</v>
      </c>
      <c r="AF184" s="102">
        <f>IF(AQ184="2",BH184,0)</f>
        <v>0</v>
      </c>
      <c r="AG184" s="102">
        <f>IF(AQ184="2",BI184,0)</f>
        <v>0</v>
      </c>
      <c r="AH184" s="102">
        <f>IF(AQ184="0",BJ184,0)</f>
        <v>0</v>
      </c>
      <c r="AI184" s="87" t="s">
        <v>566</v>
      </c>
      <c r="AJ184" s="102">
        <f>IF(AN184=0,J184,0)</f>
        <v>0</v>
      </c>
      <c r="AK184" s="102">
        <f>IF(AN184=12,J184,0)</f>
        <v>0</v>
      </c>
      <c r="AL184" s="102">
        <f>IF(AN184=21,J184,0)</f>
        <v>0</v>
      </c>
      <c r="AN184" s="102">
        <v>21</v>
      </c>
      <c r="AO184" s="102">
        <f>G184*0.88396</f>
        <v>0</v>
      </c>
      <c r="AP184" s="102">
        <f>G184*(1-0.88396)</f>
        <v>0</v>
      </c>
      <c r="AQ184" s="104" t="s">
        <v>831</v>
      </c>
      <c r="AV184" s="102">
        <f>AW184+AX184</f>
        <v>0</v>
      </c>
      <c r="AW184" s="102">
        <f>F184*AO184</f>
        <v>0</v>
      </c>
      <c r="AX184" s="102">
        <f>F184*AP184</f>
        <v>0</v>
      </c>
      <c r="AY184" s="104" t="s">
        <v>678</v>
      </c>
      <c r="AZ184" s="104" t="s">
        <v>912</v>
      </c>
      <c r="BA184" s="87" t="s">
        <v>870</v>
      </c>
      <c r="BC184" s="102">
        <f>AW184+AX184</f>
        <v>0</v>
      </c>
      <c r="BD184" s="102">
        <f>G184/(100-BE184)*100</f>
        <v>0</v>
      </c>
      <c r="BE184" s="102">
        <v>0</v>
      </c>
      <c r="BF184" s="102">
        <f>184</f>
        <v>184</v>
      </c>
      <c r="BH184" s="102">
        <f>F184*AO184</f>
        <v>0</v>
      </c>
      <c r="BI184" s="102">
        <f>F184*AP184</f>
        <v>0</v>
      </c>
      <c r="BJ184" s="102">
        <f>F184*G184</f>
        <v>0</v>
      </c>
      <c r="BK184" s="102"/>
      <c r="BL184" s="102">
        <v>764</v>
      </c>
      <c r="BW184" s="102">
        <v>21</v>
      </c>
    </row>
    <row r="185" spans="1:11" ht="15">
      <c r="A185" s="105"/>
      <c r="C185" s="106" t="s">
        <v>722</v>
      </c>
      <c r="D185" s="107" t="s">
        <v>125</v>
      </c>
      <c r="F185" s="108">
        <v>4</v>
      </c>
      <c r="G185" s="215"/>
      <c r="K185" s="109"/>
    </row>
    <row r="186" spans="1:75" ht="15">
      <c r="A186" s="23" t="s">
        <v>72</v>
      </c>
      <c r="B186" s="19" t="s">
        <v>233</v>
      </c>
      <c r="C186" s="135" t="s">
        <v>843</v>
      </c>
      <c r="D186" s="135"/>
      <c r="E186" s="19" t="s">
        <v>695</v>
      </c>
      <c r="F186" s="102">
        <f>'Stavební rozpočet'!F186</f>
        <v>108.72</v>
      </c>
      <c r="G186" s="214">
        <f>'Stavební rozpočet'!G186</f>
        <v>0</v>
      </c>
      <c r="H186" s="102">
        <f>F186*AO186</f>
        <v>0</v>
      </c>
      <c r="I186" s="102">
        <f>F186*AP186</f>
        <v>0</v>
      </c>
      <c r="J186" s="102">
        <f>F186*G186</f>
        <v>0</v>
      </c>
      <c r="K186" s="103" t="s">
        <v>406</v>
      </c>
      <c r="Z186" s="102">
        <f>IF(AQ186="5",BJ186,0)</f>
        <v>0</v>
      </c>
      <c r="AB186" s="102">
        <f>IF(AQ186="1",BH186,0)</f>
        <v>0</v>
      </c>
      <c r="AC186" s="102">
        <f>IF(AQ186="1",BI186,0)</f>
        <v>0</v>
      </c>
      <c r="AD186" s="102">
        <f>IF(AQ186="7",BH186,0)</f>
        <v>0</v>
      </c>
      <c r="AE186" s="102">
        <f>IF(AQ186="7",BI186,0)</f>
        <v>0</v>
      </c>
      <c r="AF186" s="102">
        <f>IF(AQ186="2",BH186,0)</f>
        <v>0</v>
      </c>
      <c r="AG186" s="102">
        <f>IF(AQ186="2",BI186,0)</f>
        <v>0</v>
      </c>
      <c r="AH186" s="102">
        <f>IF(AQ186="0",BJ186,0)</f>
        <v>0</v>
      </c>
      <c r="AI186" s="87" t="s">
        <v>566</v>
      </c>
      <c r="AJ186" s="102">
        <f>IF(AN186=0,J186,0)</f>
        <v>0</v>
      </c>
      <c r="AK186" s="102">
        <f>IF(AN186=12,J186,0)</f>
        <v>0</v>
      </c>
      <c r="AL186" s="102">
        <f>IF(AN186=21,J186,0)</f>
        <v>0</v>
      </c>
      <c r="AN186" s="102">
        <v>21</v>
      </c>
      <c r="AO186" s="102">
        <f>G186*0</f>
        <v>0</v>
      </c>
      <c r="AP186" s="102">
        <f>G186*(1-0)</f>
        <v>0</v>
      </c>
      <c r="AQ186" s="104" t="s">
        <v>831</v>
      </c>
      <c r="AV186" s="102">
        <f>AW186+AX186</f>
        <v>0</v>
      </c>
      <c r="AW186" s="102">
        <f>F186*AO186</f>
        <v>0</v>
      </c>
      <c r="AX186" s="102">
        <f>F186*AP186</f>
        <v>0</v>
      </c>
      <c r="AY186" s="104" t="s">
        <v>678</v>
      </c>
      <c r="AZ186" s="104" t="s">
        <v>912</v>
      </c>
      <c r="BA186" s="87" t="s">
        <v>870</v>
      </c>
      <c r="BC186" s="102">
        <f>AW186+AX186</f>
        <v>0</v>
      </c>
      <c r="BD186" s="102">
        <f>G186/(100-BE186)*100</f>
        <v>0</v>
      </c>
      <c r="BE186" s="102">
        <v>0</v>
      </c>
      <c r="BF186" s="102">
        <f>186</f>
        <v>186</v>
      </c>
      <c r="BH186" s="102">
        <f>F186*AO186</f>
        <v>0</v>
      </c>
      <c r="BI186" s="102">
        <f>F186*AP186</f>
        <v>0</v>
      </c>
      <c r="BJ186" s="102">
        <f>F186*G186</f>
        <v>0</v>
      </c>
      <c r="BK186" s="102"/>
      <c r="BL186" s="102">
        <v>764</v>
      </c>
      <c r="BW186" s="102">
        <v>21</v>
      </c>
    </row>
    <row r="187" spans="1:11" ht="15">
      <c r="A187" s="105"/>
      <c r="C187" s="106" t="s">
        <v>839</v>
      </c>
      <c r="D187" s="107" t="s">
        <v>756</v>
      </c>
      <c r="F187" s="108">
        <v>7.2</v>
      </c>
      <c r="G187" s="215"/>
      <c r="K187" s="109"/>
    </row>
    <row r="188" spans="1:11" ht="15">
      <c r="A188" s="105"/>
      <c r="C188" s="106" t="s">
        <v>889</v>
      </c>
      <c r="D188" s="107" t="s">
        <v>542</v>
      </c>
      <c r="F188" s="108">
        <v>0.9</v>
      </c>
      <c r="G188" s="215"/>
      <c r="K188" s="109"/>
    </row>
    <row r="189" spans="1:11" ht="15">
      <c r="A189" s="105"/>
      <c r="C189" s="106" t="s">
        <v>606</v>
      </c>
      <c r="D189" s="107" t="s">
        <v>336</v>
      </c>
      <c r="F189" s="108">
        <v>3.9000000000000004</v>
      </c>
      <c r="G189" s="215"/>
      <c r="K189" s="109"/>
    </row>
    <row r="190" spans="1:11" ht="15">
      <c r="A190" s="105"/>
      <c r="C190" s="106" t="s">
        <v>738</v>
      </c>
      <c r="D190" s="107" t="s">
        <v>524</v>
      </c>
      <c r="F190" s="108">
        <v>7.6000000000000005</v>
      </c>
      <c r="G190" s="215"/>
      <c r="K190" s="109"/>
    </row>
    <row r="191" spans="1:11" ht="15">
      <c r="A191" s="105"/>
      <c r="C191" s="106" t="s">
        <v>738</v>
      </c>
      <c r="D191" s="107" t="s">
        <v>428</v>
      </c>
      <c r="F191" s="108">
        <v>7.6000000000000005</v>
      </c>
      <c r="G191" s="215"/>
      <c r="K191" s="109"/>
    </row>
    <row r="192" spans="1:11" ht="15">
      <c r="A192" s="105"/>
      <c r="C192" s="106" t="s">
        <v>557</v>
      </c>
      <c r="D192" s="107" t="s">
        <v>105</v>
      </c>
      <c r="F192" s="108">
        <v>5.800000000000001</v>
      </c>
      <c r="G192" s="215"/>
      <c r="K192" s="109"/>
    </row>
    <row r="193" spans="1:11" ht="15">
      <c r="A193" s="105"/>
      <c r="C193" s="106" t="s">
        <v>178</v>
      </c>
      <c r="D193" s="107" t="s">
        <v>475</v>
      </c>
      <c r="F193" s="108">
        <v>10.100000000000001</v>
      </c>
      <c r="G193" s="215"/>
      <c r="K193" s="109"/>
    </row>
    <row r="194" spans="1:11" ht="15">
      <c r="A194" s="105"/>
      <c r="C194" s="106" t="s">
        <v>835</v>
      </c>
      <c r="D194" s="107" t="s">
        <v>275</v>
      </c>
      <c r="F194" s="108">
        <v>38.800000000000004</v>
      </c>
      <c r="G194" s="215"/>
      <c r="K194" s="109"/>
    </row>
    <row r="195" spans="1:11" ht="15">
      <c r="A195" s="105"/>
      <c r="C195" s="106" t="s">
        <v>816</v>
      </c>
      <c r="D195" s="107" t="s">
        <v>275</v>
      </c>
      <c r="F195" s="108">
        <v>9.8</v>
      </c>
      <c r="G195" s="215"/>
      <c r="K195" s="109"/>
    </row>
    <row r="196" spans="1:11" ht="25.5">
      <c r="A196" s="105"/>
      <c r="C196" s="106" t="s">
        <v>931</v>
      </c>
      <c r="D196" s="107" t="s">
        <v>161</v>
      </c>
      <c r="F196" s="108">
        <v>9.520000000000001</v>
      </c>
      <c r="G196" s="215"/>
      <c r="K196" s="109"/>
    </row>
    <row r="197" spans="1:11" ht="15">
      <c r="A197" s="105"/>
      <c r="C197" s="106" t="s">
        <v>514</v>
      </c>
      <c r="D197" s="107" t="s">
        <v>101</v>
      </c>
      <c r="F197" s="108">
        <v>7.500000000000001</v>
      </c>
      <c r="G197" s="215"/>
      <c r="K197" s="109"/>
    </row>
    <row r="198" spans="1:75" ht="15">
      <c r="A198" s="23" t="s">
        <v>652</v>
      </c>
      <c r="B198" s="19" t="s">
        <v>534</v>
      </c>
      <c r="C198" s="135" t="s">
        <v>812</v>
      </c>
      <c r="D198" s="135"/>
      <c r="E198" s="19" t="s">
        <v>695</v>
      </c>
      <c r="F198" s="102">
        <f>'Stavební rozpočet'!F198</f>
        <v>44.6</v>
      </c>
      <c r="G198" s="214">
        <f>'Stavební rozpočet'!G198</f>
        <v>0</v>
      </c>
      <c r="H198" s="102">
        <f>F198*AO198</f>
        <v>0</v>
      </c>
      <c r="I198" s="102">
        <f>F198*AP198</f>
        <v>0</v>
      </c>
      <c r="J198" s="102">
        <f>F198*G198</f>
        <v>0</v>
      </c>
      <c r="K198" s="103" t="s">
        <v>406</v>
      </c>
      <c r="Z198" s="102">
        <f>IF(AQ198="5",BJ198,0)</f>
        <v>0</v>
      </c>
      <c r="AB198" s="102">
        <f>IF(AQ198="1",BH198,0)</f>
        <v>0</v>
      </c>
      <c r="AC198" s="102">
        <f>IF(AQ198="1",BI198,0)</f>
        <v>0</v>
      </c>
      <c r="AD198" s="102">
        <f>IF(AQ198="7",BH198,0)</f>
        <v>0</v>
      </c>
      <c r="AE198" s="102">
        <f>IF(AQ198="7",BI198,0)</f>
        <v>0</v>
      </c>
      <c r="AF198" s="102">
        <f>IF(AQ198="2",BH198,0)</f>
        <v>0</v>
      </c>
      <c r="AG198" s="102">
        <f>IF(AQ198="2",BI198,0)</f>
        <v>0</v>
      </c>
      <c r="AH198" s="102">
        <f>IF(AQ198="0",BJ198,0)</f>
        <v>0</v>
      </c>
      <c r="AI198" s="87" t="s">
        <v>566</v>
      </c>
      <c r="AJ198" s="102">
        <f>IF(AN198=0,J198,0)</f>
        <v>0</v>
      </c>
      <c r="AK198" s="102">
        <f>IF(AN198=12,J198,0)</f>
        <v>0</v>
      </c>
      <c r="AL198" s="102">
        <f>IF(AN198=21,J198,0)</f>
        <v>0</v>
      </c>
      <c r="AN198" s="102">
        <v>21</v>
      </c>
      <c r="AO198" s="102">
        <f>G198*0</f>
        <v>0</v>
      </c>
      <c r="AP198" s="102">
        <f>G198*(1-0)</f>
        <v>0</v>
      </c>
      <c r="AQ198" s="104" t="s">
        <v>831</v>
      </c>
      <c r="AV198" s="102">
        <f>AW198+AX198</f>
        <v>0</v>
      </c>
      <c r="AW198" s="102">
        <f>F198*AO198</f>
        <v>0</v>
      </c>
      <c r="AX198" s="102">
        <f>F198*AP198</f>
        <v>0</v>
      </c>
      <c r="AY198" s="104" t="s">
        <v>678</v>
      </c>
      <c r="AZ198" s="104" t="s">
        <v>912</v>
      </c>
      <c r="BA198" s="87" t="s">
        <v>870</v>
      </c>
      <c r="BC198" s="102">
        <f>AW198+AX198</f>
        <v>0</v>
      </c>
      <c r="BD198" s="102">
        <f>G198/(100-BE198)*100</f>
        <v>0</v>
      </c>
      <c r="BE198" s="102">
        <v>0</v>
      </c>
      <c r="BF198" s="102">
        <f>198</f>
        <v>198</v>
      </c>
      <c r="BH198" s="102">
        <f>F198*AO198</f>
        <v>0</v>
      </c>
      <c r="BI198" s="102">
        <f>F198*AP198</f>
        <v>0</v>
      </c>
      <c r="BJ198" s="102">
        <f>F198*G198</f>
        <v>0</v>
      </c>
      <c r="BK198" s="102"/>
      <c r="BL198" s="102">
        <v>764</v>
      </c>
      <c r="BW198" s="102">
        <v>21</v>
      </c>
    </row>
    <row r="199" spans="1:11" ht="15">
      <c r="A199" s="105"/>
      <c r="C199" s="106" t="s">
        <v>186</v>
      </c>
      <c r="D199" s="107" t="s">
        <v>636</v>
      </c>
      <c r="F199" s="108">
        <v>44.6</v>
      </c>
      <c r="G199" s="215"/>
      <c r="K199" s="109"/>
    </row>
    <row r="200" spans="1:75" ht="15">
      <c r="A200" s="23" t="s">
        <v>693</v>
      </c>
      <c r="B200" s="19" t="s">
        <v>345</v>
      </c>
      <c r="C200" s="135" t="s">
        <v>659</v>
      </c>
      <c r="D200" s="135"/>
      <c r="E200" s="19" t="s">
        <v>695</v>
      </c>
      <c r="F200" s="102">
        <f>'Stavební rozpočet'!F200</f>
        <v>32.5</v>
      </c>
      <c r="G200" s="214">
        <f>'Stavební rozpočet'!G200</f>
        <v>0</v>
      </c>
      <c r="H200" s="102">
        <f>F200*AO200</f>
        <v>0</v>
      </c>
      <c r="I200" s="102">
        <f>F200*AP200</f>
        <v>0</v>
      </c>
      <c r="J200" s="102">
        <f>F200*G200</f>
        <v>0</v>
      </c>
      <c r="K200" s="103" t="s">
        <v>406</v>
      </c>
      <c r="Z200" s="102">
        <f>IF(AQ200="5",BJ200,0)</f>
        <v>0</v>
      </c>
      <c r="AB200" s="102">
        <f>IF(AQ200="1",BH200,0)</f>
        <v>0</v>
      </c>
      <c r="AC200" s="102">
        <f>IF(AQ200="1",BI200,0)</f>
        <v>0</v>
      </c>
      <c r="AD200" s="102">
        <f>IF(AQ200="7",BH200,0)</f>
        <v>0</v>
      </c>
      <c r="AE200" s="102">
        <f>IF(AQ200="7",BI200,0)</f>
        <v>0</v>
      </c>
      <c r="AF200" s="102">
        <f>IF(AQ200="2",BH200,0)</f>
        <v>0</v>
      </c>
      <c r="AG200" s="102">
        <f>IF(AQ200="2",BI200,0)</f>
        <v>0</v>
      </c>
      <c r="AH200" s="102">
        <f>IF(AQ200="0",BJ200,0)</f>
        <v>0</v>
      </c>
      <c r="AI200" s="87" t="s">
        <v>566</v>
      </c>
      <c r="AJ200" s="102">
        <f>IF(AN200=0,J200,0)</f>
        <v>0</v>
      </c>
      <c r="AK200" s="102">
        <f>IF(AN200=12,J200,0)</f>
        <v>0</v>
      </c>
      <c r="AL200" s="102">
        <f>IF(AN200=21,J200,0)</f>
        <v>0</v>
      </c>
      <c r="AN200" s="102">
        <v>21</v>
      </c>
      <c r="AO200" s="102">
        <f>G200*0</f>
        <v>0</v>
      </c>
      <c r="AP200" s="102">
        <f>G200*(1-0)</f>
        <v>0</v>
      </c>
      <c r="AQ200" s="104" t="s">
        <v>831</v>
      </c>
      <c r="AV200" s="102">
        <f>AW200+AX200</f>
        <v>0</v>
      </c>
      <c r="AW200" s="102">
        <f>F200*AO200</f>
        <v>0</v>
      </c>
      <c r="AX200" s="102">
        <f>F200*AP200</f>
        <v>0</v>
      </c>
      <c r="AY200" s="104" t="s">
        <v>678</v>
      </c>
      <c r="AZ200" s="104" t="s">
        <v>912</v>
      </c>
      <c r="BA200" s="87" t="s">
        <v>870</v>
      </c>
      <c r="BC200" s="102">
        <f>AW200+AX200</f>
        <v>0</v>
      </c>
      <c r="BD200" s="102">
        <f>G200/(100-BE200)*100</f>
        <v>0</v>
      </c>
      <c r="BE200" s="102">
        <v>0</v>
      </c>
      <c r="BF200" s="102">
        <f>200</f>
        <v>200</v>
      </c>
      <c r="BH200" s="102">
        <f>F200*AO200</f>
        <v>0</v>
      </c>
      <c r="BI200" s="102">
        <f>F200*AP200</f>
        <v>0</v>
      </c>
      <c r="BJ200" s="102">
        <f>F200*G200</f>
        <v>0</v>
      </c>
      <c r="BK200" s="102"/>
      <c r="BL200" s="102">
        <v>764</v>
      </c>
      <c r="BW200" s="102">
        <v>21</v>
      </c>
    </row>
    <row r="201" spans="1:11" ht="15">
      <c r="A201" s="105"/>
      <c r="C201" s="106" t="s">
        <v>220</v>
      </c>
      <c r="D201" s="107" t="s">
        <v>183</v>
      </c>
      <c r="F201" s="108">
        <v>32.5</v>
      </c>
      <c r="G201" s="215"/>
      <c r="K201" s="109"/>
    </row>
    <row r="202" spans="1:75" ht="15">
      <c r="A202" s="23" t="s">
        <v>388</v>
      </c>
      <c r="B202" s="19" t="s">
        <v>734</v>
      </c>
      <c r="C202" s="135" t="s">
        <v>758</v>
      </c>
      <c r="D202" s="135"/>
      <c r="E202" s="19" t="s">
        <v>695</v>
      </c>
      <c r="F202" s="102">
        <f>'Stavební rozpočet'!F202</f>
        <v>8.1</v>
      </c>
      <c r="G202" s="214">
        <f>'Stavební rozpočet'!G202</f>
        <v>0</v>
      </c>
      <c r="H202" s="102">
        <f>F202*AO202</f>
        <v>0</v>
      </c>
      <c r="I202" s="102">
        <f>F202*AP202</f>
        <v>0</v>
      </c>
      <c r="J202" s="102">
        <f>F202*G202</f>
        <v>0</v>
      </c>
      <c r="K202" s="103" t="s">
        <v>406</v>
      </c>
      <c r="Z202" s="102">
        <f>IF(AQ202="5",BJ202,0)</f>
        <v>0</v>
      </c>
      <c r="AB202" s="102">
        <f>IF(AQ202="1",BH202,0)</f>
        <v>0</v>
      </c>
      <c r="AC202" s="102">
        <f>IF(AQ202="1",BI202,0)</f>
        <v>0</v>
      </c>
      <c r="AD202" s="102">
        <f>IF(AQ202="7",BH202,0)</f>
        <v>0</v>
      </c>
      <c r="AE202" s="102">
        <f>IF(AQ202="7",BI202,0)</f>
        <v>0</v>
      </c>
      <c r="AF202" s="102">
        <f>IF(AQ202="2",BH202,0)</f>
        <v>0</v>
      </c>
      <c r="AG202" s="102">
        <f>IF(AQ202="2",BI202,0)</f>
        <v>0</v>
      </c>
      <c r="AH202" s="102">
        <f>IF(AQ202="0",BJ202,0)</f>
        <v>0</v>
      </c>
      <c r="AI202" s="87" t="s">
        <v>566</v>
      </c>
      <c r="AJ202" s="102">
        <f>IF(AN202=0,J202,0)</f>
        <v>0</v>
      </c>
      <c r="AK202" s="102">
        <f>IF(AN202=12,J202,0)</f>
        <v>0</v>
      </c>
      <c r="AL202" s="102">
        <f>IF(AN202=21,J202,0)</f>
        <v>0</v>
      </c>
      <c r="AN202" s="102">
        <v>21</v>
      </c>
      <c r="AO202" s="102">
        <f>G202*0.374517133956386</f>
        <v>0</v>
      </c>
      <c r="AP202" s="102">
        <f>G202*(1-0.374517133956386)</f>
        <v>0</v>
      </c>
      <c r="AQ202" s="104" t="s">
        <v>831</v>
      </c>
      <c r="AV202" s="102">
        <f>AW202+AX202</f>
        <v>0</v>
      </c>
      <c r="AW202" s="102">
        <f>F202*AO202</f>
        <v>0</v>
      </c>
      <c r="AX202" s="102">
        <f>F202*AP202</f>
        <v>0</v>
      </c>
      <c r="AY202" s="104" t="s">
        <v>678</v>
      </c>
      <c r="AZ202" s="104" t="s">
        <v>912</v>
      </c>
      <c r="BA202" s="87" t="s">
        <v>870</v>
      </c>
      <c r="BC202" s="102">
        <f>AW202+AX202</f>
        <v>0</v>
      </c>
      <c r="BD202" s="102">
        <f>G202/(100-BE202)*100</f>
        <v>0</v>
      </c>
      <c r="BE202" s="102">
        <v>0</v>
      </c>
      <c r="BF202" s="102">
        <f>202</f>
        <v>202</v>
      </c>
      <c r="BH202" s="102">
        <f>F202*AO202</f>
        <v>0</v>
      </c>
      <c r="BI202" s="102">
        <f>F202*AP202</f>
        <v>0</v>
      </c>
      <c r="BJ202" s="102">
        <f>F202*G202</f>
        <v>0</v>
      </c>
      <c r="BK202" s="102"/>
      <c r="BL202" s="102">
        <v>764</v>
      </c>
      <c r="BW202" s="102">
        <v>21</v>
      </c>
    </row>
    <row r="203" spans="1:11" ht="15">
      <c r="A203" s="105"/>
      <c r="C203" s="202" t="s">
        <v>70</v>
      </c>
      <c r="D203" s="202"/>
      <c r="E203" s="202"/>
      <c r="F203" s="202"/>
      <c r="G203" s="202"/>
      <c r="H203" s="202"/>
      <c r="I203" s="202"/>
      <c r="J203" s="202"/>
      <c r="K203" s="203"/>
    </row>
    <row r="204" spans="1:11" ht="15">
      <c r="A204" s="105"/>
      <c r="C204" s="106" t="s">
        <v>839</v>
      </c>
      <c r="D204" s="107" t="s">
        <v>756</v>
      </c>
      <c r="F204" s="108">
        <v>7.2</v>
      </c>
      <c r="G204" s="215"/>
      <c r="K204" s="109"/>
    </row>
    <row r="205" spans="1:11" ht="15">
      <c r="A205" s="105"/>
      <c r="C205" s="106" t="s">
        <v>889</v>
      </c>
      <c r="D205" s="107" t="s">
        <v>542</v>
      </c>
      <c r="F205" s="108">
        <v>0.9</v>
      </c>
      <c r="G205" s="215"/>
      <c r="K205" s="109"/>
    </row>
    <row r="206" spans="1:75" ht="15">
      <c r="A206" s="23" t="s">
        <v>381</v>
      </c>
      <c r="B206" s="19" t="s">
        <v>661</v>
      </c>
      <c r="C206" s="135" t="s">
        <v>737</v>
      </c>
      <c r="D206" s="135"/>
      <c r="E206" s="19" t="s">
        <v>695</v>
      </c>
      <c r="F206" s="102">
        <f>'Stavební rozpočet'!F206</f>
        <v>3.9</v>
      </c>
      <c r="G206" s="214">
        <f>'Stavební rozpočet'!G206</f>
        <v>0</v>
      </c>
      <c r="H206" s="102">
        <f>F206*AO206</f>
        <v>0</v>
      </c>
      <c r="I206" s="102">
        <f>F206*AP206</f>
        <v>0</v>
      </c>
      <c r="J206" s="102">
        <f>F206*G206</f>
        <v>0</v>
      </c>
      <c r="K206" s="103" t="s">
        <v>406</v>
      </c>
      <c r="Z206" s="102">
        <f>IF(AQ206="5",BJ206,0)</f>
        <v>0</v>
      </c>
      <c r="AB206" s="102">
        <f>IF(AQ206="1",BH206,0)</f>
        <v>0</v>
      </c>
      <c r="AC206" s="102">
        <f>IF(AQ206="1",BI206,0)</f>
        <v>0</v>
      </c>
      <c r="AD206" s="102">
        <f>IF(AQ206="7",BH206,0)</f>
        <v>0</v>
      </c>
      <c r="AE206" s="102">
        <f>IF(AQ206="7",BI206,0)</f>
        <v>0</v>
      </c>
      <c r="AF206" s="102">
        <f>IF(AQ206="2",BH206,0)</f>
        <v>0</v>
      </c>
      <c r="AG206" s="102">
        <f>IF(AQ206="2",BI206,0)</f>
        <v>0</v>
      </c>
      <c r="AH206" s="102">
        <f>IF(AQ206="0",BJ206,0)</f>
        <v>0</v>
      </c>
      <c r="AI206" s="87" t="s">
        <v>566</v>
      </c>
      <c r="AJ206" s="102">
        <f>IF(AN206=0,J206,0)</f>
        <v>0</v>
      </c>
      <c r="AK206" s="102">
        <f>IF(AN206=12,J206,0)</f>
        <v>0</v>
      </c>
      <c r="AL206" s="102">
        <f>IF(AN206=21,J206,0)</f>
        <v>0</v>
      </c>
      <c r="AN206" s="102">
        <v>21</v>
      </c>
      <c r="AO206" s="102">
        <f>G206*0.393605633802817</f>
        <v>0</v>
      </c>
      <c r="AP206" s="102">
        <f>G206*(1-0.393605633802817)</f>
        <v>0</v>
      </c>
      <c r="AQ206" s="104" t="s">
        <v>831</v>
      </c>
      <c r="AV206" s="102">
        <f>AW206+AX206</f>
        <v>0</v>
      </c>
      <c r="AW206" s="102">
        <f>F206*AO206</f>
        <v>0</v>
      </c>
      <c r="AX206" s="102">
        <f>F206*AP206</f>
        <v>0</v>
      </c>
      <c r="AY206" s="104" t="s">
        <v>678</v>
      </c>
      <c r="AZ206" s="104" t="s">
        <v>912</v>
      </c>
      <c r="BA206" s="87" t="s">
        <v>870</v>
      </c>
      <c r="BC206" s="102">
        <f>AW206+AX206</f>
        <v>0</v>
      </c>
      <c r="BD206" s="102">
        <f>G206/(100-BE206)*100</f>
        <v>0</v>
      </c>
      <c r="BE206" s="102">
        <v>0</v>
      </c>
      <c r="BF206" s="102">
        <f>206</f>
        <v>206</v>
      </c>
      <c r="BH206" s="102">
        <f>F206*AO206</f>
        <v>0</v>
      </c>
      <c r="BI206" s="102">
        <f>F206*AP206</f>
        <v>0</v>
      </c>
      <c r="BJ206" s="102">
        <f>F206*G206</f>
        <v>0</v>
      </c>
      <c r="BK206" s="102"/>
      <c r="BL206" s="102">
        <v>764</v>
      </c>
      <c r="BW206" s="102">
        <v>21</v>
      </c>
    </row>
    <row r="207" spans="1:11" ht="15">
      <c r="A207" s="105"/>
      <c r="C207" s="202" t="s">
        <v>488</v>
      </c>
      <c r="D207" s="202"/>
      <c r="E207" s="202"/>
      <c r="F207" s="202"/>
      <c r="G207" s="202"/>
      <c r="H207" s="202"/>
      <c r="I207" s="202"/>
      <c r="J207" s="202"/>
      <c r="K207" s="203"/>
    </row>
    <row r="208" spans="1:11" ht="15">
      <c r="A208" s="105"/>
      <c r="C208" s="106" t="s">
        <v>606</v>
      </c>
      <c r="D208" s="107" t="s">
        <v>336</v>
      </c>
      <c r="F208" s="108">
        <v>3.9000000000000004</v>
      </c>
      <c r="G208" s="215"/>
      <c r="K208" s="109"/>
    </row>
    <row r="209" spans="1:75" ht="15">
      <c r="A209" s="23" t="s">
        <v>418</v>
      </c>
      <c r="B209" s="19" t="s">
        <v>669</v>
      </c>
      <c r="C209" s="135" t="s">
        <v>593</v>
      </c>
      <c r="D209" s="135"/>
      <c r="E209" s="19" t="s">
        <v>695</v>
      </c>
      <c r="F209" s="102">
        <f>'Stavební rozpočet'!F209</f>
        <v>21</v>
      </c>
      <c r="G209" s="214">
        <f>'Stavební rozpočet'!G209</f>
        <v>0</v>
      </c>
      <c r="H209" s="102">
        <f>F209*AO209</f>
        <v>0</v>
      </c>
      <c r="I209" s="102">
        <f>F209*AP209</f>
        <v>0</v>
      </c>
      <c r="J209" s="102">
        <f>F209*G209</f>
        <v>0</v>
      </c>
      <c r="K209" s="103" t="s">
        <v>406</v>
      </c>
      <c r="Z209" s="102">
        <f>IF(AQ209="5",BJ209,0)</f>
        <v>0</v>
      </c>
      <c r="AB209" s="102">
        <f>IF(AQ209="1",BH209,0)</f>
        <v>0</v>
      </c>
      <c r="AC209" s="102">
        <f>IF(AQ209="1",BI209,0)</f>
        <v>0</v>
      </c>
      <c r="AD209" s="102">
        <f>IF(AQ209="7",BH209,0)</f>
        <v>0</v>
      </c>
      <c r="AE209" s="102">
        <f>IF(AQ209="7",BI209,0)</f>
        <v>0</v>
      </c>
      <c r="AF209" s="102">
        <f>IF(AQ209="2",BH209,0)</f>
        <v>0</v>
      </c>
      <c r="AG209" s="102">
        <f>IF(AQ209="2",BI209,0)</f>
        <v>0</v>
      </c>
      <c r="AH209" s="102">
        <f>IF(AQ209="0",BJ209,0)</f>
        <v>0</v>
      </c>
      <c r="AI209" s="87" t="s">
        <v>566</v>
      </c>
      <c r="AJ209" s="102">
        <f>IF(AN209=0,J209,0)</f>
        <v>0</v>
      </c>
      <c r="AK209" s="102">
        <f>IF(AN209=12,J209,0)</f>
        <v>0</v>
      </c>
      <c r="AL209" s="102">
        <f>IF(AN209=21,J209,0)</f>
        <v>0</v>
      </c>
      <c r="AN209" s="102">
        <v>21</v>
      </c>
      <c r="AO209" s="102">
        <f>G209*0.316472795497186</f>
        <v>0</v>
      </c>
      <c r="AP209" s="102">
        <f>G209*(1-0.316472795497186)</f>
        <v>0</v>
      </c>
      <c r="AQ209" s="104" t="s">
        <v>831</v>
      </c>
      <c r="AV209" s="102">
        <f>AW209+AX209</f>
        <v>0</v>
      </c>
      <c r="AW209" s="102">
        <f>F209*AO209</f>
        <v>0</v>
      </c>
      <c r="AX209" s="102">
        <f>F209*AP209</f>
        <v>0</v>
      </c>
      <c r="AY209" s="104" t="s">
        <v>678</v>
      </c>
      <c r="AZ209" s="104" t="s">
        <v>912</v>
      </c>
      <c r="BA209" s="87" t="s">
        <v>870</v>
      </c>
      <c r="BC209" s="102">
        <f>AW209+AX209</f>
        <v>0</v>
      </c>
      <c r="BD209" s="102">
        <f>G209/(100-BE209)*100</f>
        <v>0</v>
      </c>
      <c r="BE209" s="102">
        <v>0</v>
      </c>
      <c r="BF209" s="102">
        <f>209</f>
        <v>209</v>
      </c>
      <c r="BH209" s="102">
        <f>F209*AO209</f>
        <v>0</v>
      </c>
      <c r="BI209" s="102">
        <f>F209*AP209</f>
        <v>0</v>
      </c>
      <c r="BJ209" s="102">
        <f>F209*G209</f>
        <v>0</v>
      </c>
      <c r="BK209" s="102"/>
      <c r="BL209" s="102">
        <v>764</v>
      </c>
      <c r="BW209" s="102">
        <v>21</v>
      </c>
    </row>
    <row r="210" spans="1:11" ht="15">
      <c r="A210" s="105"/>
      <c r="C210" s="202" t="s">
        <v>488</v>
      </c>
      <c r="D210" s="202"/>
      <c r="E210" s="202"/>
      <c r="F210" s="202"/>
      <c r="G210" s="202"/>
      <c r="H210" s="202"/>
      <c r="I210" s="202"/>
      <c r="J210" s="202"/>
      <c r="K210" s="203"/>
    </row>
    <row r="211" spans="1:11" ht="15">
      <c r="A211" s="105"/>
      <c r="C211" s="106" t="s">
        <v>738</v>
      </c>
      <c r="D211" s="107" t="s">
        <v>524</v>
      </c>
      <c r="F211" s="108">
        <v>7.6000000000000005</v>
      </c>
      <c r="G211" s="215"/>
      <c r="K211" s="109"/>
    </row>
    <row r="212" spans="1:11" ht="15">
      <c r="A212" s="105"/>
      <c r="C212" s="106" t="s">
        <v>738</v>
      </c>
      <c r="D212" s="107" t="s">
        <v>428</v>
      </c>
      <c r="F212" s="108">
        <v>7.6000000000000005</v>
      </c>
      <c r="G212" s="215"/>
      <c r="K212" s="109"/>
    </row>
    <row r="213" spans="1:11" ht="15">
      <c r="A213" s="105"/>
      <c r="C213" s="106" t="s">
        <v>557</v>
      </c>
      <c r="D213" s="107" t="s">
        <v>105</v>
      </c>
      <c r="F213" s="108">
        <v>5.800000000000001</v>
      </c>
      <c r="G213" s="215"/>
      <c r="K213" s="109"/>
    </row>
    <row r="214" spans="1:75" ht="15">
      <c r="A214" s="23" t="s">
        <v>770</v>
      </c>
      <c r="B214" s="19" t="s">
        <v>456</v>
      </c>
      <c r="C214" s="135" t="s">
        <v>234</v>
      </c>
      <c r="D214" s="135"/>
      <c r="E214" s="19" t="s">
        <v>695</v>
      </c>
      <c r="F214" s="102">
        <f>'Stavební rozpočet'!F214</f>
        <v>10.1</v>
      </c>
      <c r="G214" s="214">
        <f>'Stavební rozpočet'!G214</f>
        <v>0</v>
      </c>
      <c r="H214" s="102">
        <f>F214*AO214</f>
        <v>0</v>
      </c>
      <c r="I214" s="102">
        <f>F214*AP214</f>
        <v>0</v>
      </c>
      <c r="J214" s="102">
        <f>F214*G214</f>
        <v>0</v>
      </c>
      <c r="K214" s="103" t="s">
        <v>406</v>
      </c>
      <c r="Z214" s="102">
        <f>IF(AQ214="5",BJ214,0)</f>
        <v>0</v>
      </c>
      <c r="AB214" s="102">
        <f>IF(AQ214="1",BH214,0)</f>
        <v>0</v>
      </c>
      <c r="AC214" s="102">
        <f>IF(AQ214="1",BI214,0)</f>
        <v>0</v>
      </c>
      <c r="AD214" s="102">
        <f>IF(AQ214="7",BH214,0)</f>
        <v>0</v>
      </c>
      <c r="AE214" s="102">
        <f>IF(AQ214="7",BI214,0)</f>
        <v>0</v>
      </c>
      <c r="AF214" s="102">
        <f>IF(AQ214="2",BH214,0)</f>
        <v>0</v>
      </c>
      <c r="AG214" s="102">
        <f>IF(AQ214="2",BI214,0)</f>
        <v>0</v>
      </c>
      <c r="AH214" s="102">
        <f>IF(AQ214="0",BJ214,0)</f>
        <v>0</v>
      </c>
      <c r="AI214" s="87" t="s">
        <v>566</v>
      </c>
      <c r="AJ214" s="102">
        <f>IF(AN214=0,J214,0)</f>
        <v>0</v>
      </c>
      <c r="AK214" s="102">
        <f>IF(AN214=12,J214,0)</f>
        <v>0</v>
      </c>
      <c r="AL214" s="102">
        <f>IF(AN214=21,J214,0)</f>
        <v>0</v>
      </c>
      <c r="AN214" s="102">
        <v>21</v>
      </c>
      <c r="AO214" s="102">
        <f>G214*0.470995641754032</f>
        <v>0</v>
      </c>
      <c r="AP214" s="102">
        <f>G214*(1-0.470995641754032)</f>
        <v>0</v>
      </c>
      <c r="AQ214" s="104" t="s">
        <v>831</v>
      </c>
      <c r="AV214" s="102">
        <f>AW214+AX214</f>
        <v>0</v>
      </c>
      <c r="AW214" s="102">
        <f>F214*AO214</f>
        <v>0</v>
      </c>
      <c r="AX214" s="102">
        <f>F214*AP214</f>
        <v>0</v>
      </c>
      <c r="AY214" s="104" t="s">
        <v>678</v>
      </c>
      <c r="AZ214" s="104" t="s">
        <v>912</v>
      </c>
      <c r="BA214" s="87" t="s">
        <v>870</v>
      </c>
      <c r="BC214" s="102">
        <f>AW214+AX214</f>
        <v>0</v>
      </c>
      <c r="BD214" s="102">
        <f>G214/(100-BE214)*100</f>
        <v>0</v>
      </c>
      <c r="BE214" s="102">
        <v>0</v>
      </c>
      <c r="BF214" s="102">
        <f>214</f>
        <v>214</v>
      </c>
      <c r="BH214" s="102">
        <f>F214*AO214</f>
        <v>0</v>
      </c>
      <c r="BI214" s="102">
        <f>F214*AP214</f>
        <v>0</v>
      </c>
      <c r="BJ214" s="102">
        <f>F214*G214</f>
        <v>0</v>
      </c>
      <c r="BK214" s="102"/>
      <c r="BL214" s="102">
        <v>764</v>
      </c>
      <c r="BW214" s="102">
        <v>21</v>
      </c>
    </row>
    <row r="215" spans="1:11" ht="15">
      <c r="A215" s="105"/>
      <c r="C215" s="202" t="s">
        <v>488</v>
      </c>
      <c r="D215" s="202"/>
      <c r="E215" s="202"/>
      <c r="F215" s="202"/>
      <c r="G215" s="202"/>
      <c r="H215" s="202"/>
      <c r="I215" s="202"/>
      <c r="J215" s="202"/>
      <c r="K215" s="203"/>
    </row>
    <row r="216" spans="1:11" ht="15">
      <c r="A216" s="105"/>
      <c r="C216" s="106" t="s">
        <v>178</v>
      </c>
      <c r="D216" s="107" t="s">
        <v>475</v>
      </c>
      <c r="F216" s="108">
        <v>10.100000000000001</v>
      </c>
      <c r="G216" s="215"/>
      <c r="K216" s="109"/>
    </row>
    <row r="217" spans="1:75" ht="15">
      <c r="A217" s="23" t="s">
        <v>553</v>
      </c>
      <c r="B217" s="19" t="s">
        <v>326</v>
      </c>
      <c r="C217" s="135" t="s">
        <v>940</v>
      </c>
      <c r="D217" s="135"/>
      <c r="E217" s="19" t="s">
        <v>695</v>
      </c>
      <c r="F217" s="102">
        <f>'Stavební rozpočet'!F217</f>
        <v>32.5</v>
      </c>
      <c r="G217" s="214">
        <f>'Stavební rozpočet'!G217</f>
        <v>0</v>
      </c>
      <c r="H217" s="102">
        <f>F217*AO217</f>
        <v>0</v>
      </c>
      <c r="I217" s="102">
        <f>F217*AP217</f>
        <v>0</v>
      </c>
      <c r="J217" s="102">
        <f>F217*G217</f>
        <v>0</v>
      </c>
      <c r="K217" s="103" t="s">
        <v>406</v>
      </c>
      <c r="Z217" s="102">
        <f>IF(AQ217="5",BJ217,0)</f>
        <v>0</v>
      </c>
      <c r="AB217" s="102">
        <f>IF(AQ217="1",BH217,0)</f>
        <v>0</v>
      </c>
      <c r="AC217" s="102">
        <f>IF(AQ217="1",BI217,0)</f>
        <v>0</v>
      </c>
      <c r="AD217" s="102">
        <f>IF(AQ217="7",BH217,0)</f>
        <v>0</v>
      </c>
      <c r="AE217" s="102">
        <f>IF(AQ217="7",BI217,0)</f>
        <v>0</v>
      </c>
      <c r="AF217" s="102">
        <f>IF(AQ217="2",BH217,0)</f>
        <v>0</v>
      </c>
      <c r="AG217" s="102">
        <f>IF(AQ217="2",BI217,0)</f>
        <v>0</v>
      </c>
      <c r="AH217" s="102">
        <f>IF(AQ217="0",BJ217,0)</f>
        <v>0</v>
      </c>
      <c r="AI217" s="87" t="s">
        <v>566</v>
      </c>
      <c r="AJ217" s="102">
        <f>IF(AN217=0,J217,0)</f>
        <v>0</v>
      </c>
      <c r="AK217" s="102">
        <f>IF(AN217=12,J217,0)</f>
        <v>0</v>
      </c>
      <c r="AL217" s="102">
        <f>IF(AN217=21,J217,0)</f>
        <v>0</v>
      </c>
      <c r="AN217" s="102">
        <v>21</v>
      </c>
      <c r="AO217" s="102">
        <f>G217*0.374644714038128</f>
        <v>0</v>
      </c>
      <c r="AP217" s="102">
        <f>G217*(1-0.374644714038128)</f>
        <v>0</v>
      </c>
      <c r="AQ217" s="104" t="s">
        <v>831</v>
      </c>
      <c r="AV217" s="102">
        <f>AW217+AX217</f>
        <v>0</v>
      </c>
      <c r="AW217" s="102">
        <f>F217*AO217</f>
        <v>0</v>
      </c>
      <c r="AX217" s="102">
        <f>F217*AP217</f>
        <v>0</v>
      </c>
      <c r="AY217" s="104" t="s">
        <v>678</v>
      </c>
      <c r="AZ217" s="104" t="s">
        <v>912</v>
      </c>
      <c r="BA217" s="87" t="s">
        <v>870</v>
      </c>
      <c r="BC217" s="102">
        <f>AW217+AX217</f>
        <v>0</v>
      </c>
      <c r="BD217" s="102">
        <f>G217/(100-BE217)*100</f>
        <v>0</v>
      </c>
      <c r="BE217" s="102">
        <v>0</v>
      </c>
      <c r="BF217" s="102">
        <f>217</f>
        <v>217</v>
      </c>
      <c r="BH217" s="102">
        <f>F217*AO217</f>
        <v>0</v>
      </c>
      <c r="BI217" s="102">
        <f>F217*AP217</f>
        <v>0</v>
      </c>
      <c r="BJ217" s="102">
        <f>F217*G217</f>
        <v>0</v>
      </c>
      <c r="BK217" s="102"/>
      <c r="BL217" s="102">
        <v>764</v>
      </c>
      <c r="BW217" s="102">
        <v>21</v>
      </c>
    </row>
    <row r="218" spans="1:11" ht="15">
      <c r="A218" s="105"/>
      <c r="C218" s="106" t="s">
        <v>220</v>
      </c>
      <c r="D218" s="107" t="s">
        <v>183</v>
      </c>
      <c r="F218" s="108">
        <v>32.5</v>
      </c>
      <c r="G218" s="215"/>
      <c r="K218" s="109"/>
    </row>
    <row r="219" spans="1:75" ht="15">
      <c r="A219" s="23" t="s">
        <v>530</v>
      </c>
      <c r="B219" s="19" t="s">
        <v>38</v>
      </c>
      <c r="C219" s="135" t="s">
        <v>805</v>
      </c>
      <c r="D219" s="135"/>
      <c r="E219" s="19" t="s">
        <v>695</v>
      </c>
      <c r="F219" s="102">
        <f>'Stavební rozpočet'!F219</f>
        <v>44.6</v>
      </c>
      <c r="G219" s="214">
        <f>'Stavební rozpočet'!G219</f>
        <v>0</v>
      </c>
      <c r="H219" s="102">
        <f>F219*AO219</f>
        <v>0</v>
      </c>
      <c r="I219" s="102">
        <f>F219*AP219</f>
        <v>0</v>
      </c>
      <c r="J219" s="102">
        <f>F219*G219</f>
        <v>0</v>
      </c>
      <c r="K219" s="103" t="s">
        <v>406</v>
      </c>
      <c r="Z219" s="102">
        <f>IF(AQ219="5",BJ219,0)</f>
        <v>0</v>
      </c>
      <c r="AB219" s="102">
        <f>IF(AQ219="1",BH219,0)</f>
        <v>0</v>
      </c>
      <c r="AC219" s="102">
        <f>IF(AQ219="1",BI219,0)</f>
        <v>0</v>
      </c>
      <c r="AD219" s="102">
        <f>IF(AQ219="7",BH219,0)</f>
        <v>0</v>
      </c>
      <c r="AE219" s="102">
        <f>IF(AQ219="7",BI219,0)</f>
        <v>0</v>
      </c>
      <c r="AF219" s="102">
        <f>IF(AQ219="2",BH219,0)</f>
        <v>0</v>
      </c>
      <c r="AG219" s="102">
        <f>IF(AQ219="2",BI219,0)</f>
        <v>0</v>
      </c>
      <c r="AH219" s="102">
        <f>IF(AQ219="0",BJ219,0)</f>
        <v>0</v>
      </c>
      <c r="AI219" s="87" t="s">
        <v>566</v>
      </c>
      <c r="AJ219" s="102">
        <f>IF(AN219=0,J219,0)</f>
        <v>0</v>
      </c>
      <c r="AK219" s="102">
        <f>IF(AN219=12,J219,0)</f>
        <v>0</v>
      </c>
      <c r="AL219" s="102">
        <f>IF(AN219=21,J219,0)</f>
        <v>0</v>
      </c>
      <c r="AN219" s="102">
        <v>21</v>
      </c>
      <c r="AO219" s="102">
        <f>G219*0.333731060606061</f>
        <v>0</v>
      </c>
      <c r="AP219" s="102">
        <f>G219*(1-0.333731060606061)</f>
        <v>0</v>
      </c>
      <c r="AQ219" s="104" t="s">
        <v>831</v>
      </c>
      <c r="AV219" s="102">
        <f>AW219+AX219</f>
        <v>0</v>
      </c>
      <c r="AW219" s="102">
        <f>F219*AO219</f>
        <v>0</v>
      </c>
      <c r="AX219" s="102">
        <f>F219*AP219</f>
        <v>0</v>
      </c>
      <c r="AY219" s="104" t="s">
        <v>678</v>
      </c>
      <c r="AZ219" s="104" t="s">
        <v>912</v>
      </c>
      <c r="BA219" s="87" t="s">
        <v>870</v>
      </c>
      <c r="BC219" s="102">
        <f>AW219+AX219</f>
        <v>0</v>
      </c>
      <c r="BD219" s="102">
        <f>G219/(100-BE219)*100</f>
        <v>0</v>
      </c>
      <c r="BE219" s="102">
        <v>0</v>
      </c>
      <c r="BF219" s="102">
        <f>219</f>
        <v>219</v>
      </c>
      <c r="BH219" s="102">
        <f>F219*AO219</f>
        <v>0</v>
      </c>
      <c r="BI219" s="102">
        <f>F219*AP219</f>
        <v>0</v>
      </c>
      <c r="BJ219" s="102">
        <f>F219*G219</f>
        <v>0</v>
      </c>
      <c r="BK219" s="102"/>
      <c r="BL219" s="102">
        <v>764</v>
      </c>
      <c r="BW219" s="102">
        <v>21</v>
      </c>
    </row>
    <row r="220" spans="1:11" ht="15">
      <c r="A220" s="105"/>
      <c r="C220" s="106" t="s">
        <v>186</v>
      </c>
      <c r="D220" s="107" t="s">
        <v>636</v>
      </c>
      <c r="F220" s="108">
        <v>44.6</v>
      </c>
      <c r="G220" s="215"/>
      <c r="K220" s="109"/>
    </row>
    <row r="221" spans="1:75" ht="15">
      <c r="A221" s="23" t="s">
        <v>793</v>
      </c>
      <c r="B221" s="19" t="s">
        <v>852</v>
      </c>
      <c r="C221" s="135" t="s">
        <v>676</v>
      </c>
      <c r="D221" s="135"/>
      <c r="E221" s="19" t="s">
        <v>695</v>
      </c>
      <c r="F221" s="102">
        <f>'Stavební rozpočet'!F221</f>
        <v>48.6</v>
      </c>
      <c r="G221" s="214">
        <f>'Stavební rozpočet'!G221</f>
        <v>0</v>
      </c>
      <c r="H221" s="102">
        <f>F221*AO221</f>
        <v>0</v>
      </c>
      <c r="I221" s="102">
        <f>F221*AP221</f>
        <v>0</v>
      </c>
      <c r="J221" s="102">
        <f>F221*G221</f>
        <v>0</v>
      </c>
      <c r="K221" s="103" t="s">
        <v>406</v>
      </c>
      <c r="Z221" s="102">
        <f>IF(AQ221="5",BJ221,0)</f>
        <v>0</v>
      </c>
      <c r="AB221" s="102">
        <f>IF(AQ221="1",BH221,0)</f>
        <v>0</v>
      </c>
      <c r="AC221" s="102">
        <f>IF(AQ221="1",BI221,0)</f>
        <v>0</v>
      </c>
      <c r="AD221" s="102">
        <f>IF(AQ221="7",BH221,0)</f>
        <v>0</v>
      </c>
      <c r="AE221" s="102">
        <f>IF(AQ221="7",BI221,0)</f>
        <v>0</v>
      </c>
      <c r="AF221" s="102">
        <f>IF(AQ221="2",BH221,0)</f>
        <v>0</v>
      </c>
      <c r="AG221" s="102">
        <f>IF(AQ221="2",BI221,0)</f>
        <v>0</v>
      </c>
      <c r="AH221" s="102">
        <f>IF(AQ221="0",BJ221,0)</f>
        <v>0</v>
      </c>
      <c r="AI221" s="87" t="s">
        <v>566</v>
      </c>
      <c r="AJ221" s="102">
        <f>IF(AN221=0,J221,0)</f>
        <v>0</v>
      </c>
      <c r="AK221" s="102">
        <f>IF(AN221=12,J221,0)</f>
        <v>0</v>
      </c>
      <c r="AL221" s="102">
        <f>IF(AN221=21,J221,0)</f>
        <v>0</v>
      </c>
      <c r="AN221" s="102">
        <v>21</v>
      </c>
      <c r="AO221" s="102">
        <f>G221*0.740633663366337</f>
        <v>0</v>
      </c>
      <c r="AP221" s="102">
        <f>G221*(1-0.740633663366337)</f>
        <v>0</v>
      </c>
      <c r="AQ221" s="104" t="s">
        <v>831</v>
      </c>
      <c r="AV221" s="102">
        <f>AW221+AX221</f>
        <v>0</v>
      </c>
      <c r="AW221" s="102">
        <f>F221*AO221</f>
        <v>0</v>
      </c>
      <c r="AX221" s="102">
        <f>F221*AP221</f>
        <v>0</v>
      </c>
      <c r="AY221" s="104" t="s">
        <v>678</v>
      </c>
      <c r="AZ221" s="104" t="s">
        <v>912</v>
      </c>
      <c r="BA221" s="87" t="s">
        <v>870</v>
      </c>
      <c r="BC221" s="102">
        <f>AW221+AX221</f>
        <v>0</v>
      </c>
      <c r="BD221" s="102">
        <f>G221/(100-BE221)*100</f>
        <v>0</v>
      </c>
      <c r="BE221" s="102">
        <v>0</v>
      </c>
      <c r="BF221" s="102">
        <f>221</f>
        <v>221</v>
      </c>
      <c r="BH221" s="102">
        <f>F221*AO221</f>
        <v>0</v>
      </c>
      <c r="BI221" s="102">
        <f>F221*AP221</f>
        <v>0</v>
      </c>
      <c r="BJ221" s="102">
        <f>F221*G221</f>
        <v>0</v>
      </c>
      <c r="BK221" s="102"/>
      <c r="BL221" s="102">
        <v>764</v>
      </c>
      <c r="BW221" s="102">
        <v>21</v>
      </c>
    </row>
    <row r="222" spans="1:11" ht="15">
      <c r="A222" s="105"/>
      <c r="C222" s="106" t="s">
        <v>835</v>
      </c>
      <c r="D222" s="107" t="s">
        <v>275</v>
      </c>
      <c r="F222" s="108">
        <v>38.800000000000004</v>
      </c>
      <c r="G222" s="215"/>
      <c r="K222" s="109"/>
    </row>
    <row r="223" spans="1:11" ht="15">
      <c r="A223" s="105"/>
      <c r="C223" s="106" t="s">
        <v>816</v>
      </c>
      <c r="D223" s="107" t="s">
        <v>577</v>
      </c>
      <c r="F223" s="108">
        <v>9.8</v>
      </c>
      <c r="G223" s="215"/>
      <c r="K223" s="109"/>
    </row>
    <row r="224" spans="1:75" ht="15">
      <c r="A224" s="23" t="s">
        <v>496</v>
      </c>
      <c r="B224" s="19" t="s">
        <v>704</v>
      </c>
      <c r="C224" s="135" t="s">
        <v>11</v>
      </c>
      <c r="D224" s="135"/>
      <c r="E224" s="19" t="s">
        <v>695</v>
      </c>
      <c r="F224" s="102">
        <f>'Stavební rozpočet'!F224</f>
        <v>9.52</v>
      </c>
      <c r="G224" s="214">
        <f>'Stavební rozpočet'!G224</f>
        <v>0</v>
      </c>
      <c r="H224" s="102">
        <f>F224*AO224</f>
        <v>0</v>
      </c>
      <c r="I224" s="102">
        <f>F224*AP224</f>
        <v>0</v>
      </c>
      <c r="J224" s="102">
        <f>F224*G224</f>
        <v>0</v>
      </c>
      <c r="K224" s="103" t="s">
        <v>406</v>
      </c>
      <c r="Z224" s="102">
        <f>IF(AQ224="5",BJ224,0)</f>
        <v>0</v>
      </c>
      <c r="AB224" s="102">
        <f>IF(AQ224="1",BH224,0)</f>
        <v>0</v>
      </c>
      <c r="AC224" s="102">
        <f>IF(AQ224="1",BI224,0)</f>
        <v>0</v>
      </c>
      <c r="AD224" s="102">
        <f>IF(AQ224="7",BH224,0)</f>
        <v>0</v>
      </c>
      <c r="AE224" s="102">
        <f>IF(AQ224="7",BI224,0)</f>
        <v>0</v>
      </c>
      <c r="AF224" s="102">
        <f>IF(AQ224="2",BH224,0)</f>
        <v>0</v>
      </c>
      <c r="AG224" s="102">
        <f>IF(AQ224="2",BI224,0)</f>
        <v>0</v>
      </c>
      <c r="AH224" s="102">
        <f>IF(AQ224="0",BJ224,0)</f>
        <v>0</v>
      </c>
      <c r="AI224" s="87" t="s">
        <v>566</v>
      </c>
      <c r="AJ224" s="102">
        <f>IF(AN224=0,J224,0)</f>
        <v>0</v>
      </c>
      <c r="AK224" s="102">
        <f>IF(AN224=12,J224,0)</f>
        <v>0</v>
      </c>
      <c r="AL224" s="102">
        <f>IF(AN224=21,J224,0)</f>
        <v>0</v>
      </c>
      <c r="AN224" s="102">
        <v>21</v>
      </c>
      <c r="AO224" s="102">
        <f>G224*0.673468697123519</f>
        <v>0</v>
      </c>
      <c r="AP224" s="102">
        <f>G224*(1-0.673468697123519)</f>
        <v>0</v>
      </c>
      <c r="AQ224" s="104" t="s">
        <v>831</v>
      </c>
      <c r="AV224" s="102">
        <f>AW224+AX224</f>
        <v>0</v>
      </c>
      <c r="AW224" s="102">
        <f>F224*AO224</f>
        <v>0</v>
      </c>
      <c r="AX224" s="102">
        <f>F224*AP224</f>
        <v>0</v>
      </c>
      <c r="AY224" s="104" t="s">
        <v>678</v>
      </c>
      <c r="AZ224" s="104" t="s">
        <v>912</v>
      </c>
      <c r="BA224" s="87" t="s">
        <v>870</v>
      </c>
      <c r="BC224" s="102">
        <f>AW224+AX224</f>
        <v>0</v>
      </c>
      <c r="BD224" s="102">
        <f>G224/(100-BE224)*100</f>
        <v>0</v>
      </c>
      <c r="BE224" s="102">
        <v>0</v>
      </c>
      <c r="BF224" s="102">
        <f>224</f>
        <v>224</v>
      </c>
      <c r="BH224" s="102">
        <f>F224*AO224</f>
        <v>0</v>
      </c>
      <c r="BI224" s="102">
        <f>F224*AP224</f>
        <v>0</v>
      </c>
      <c r="BJ224" s="102">
        <f>F224*G224</f>
        <v>0</v>
      </c>
      <c r="BK224" s="102"/>
      <c r="BL224" s="102">
        <v>764</v>
      </c>
      <c r="BW224" s="102">
        <v>21</v>
      </c>
    </row>
    <row r="225" spans="1:11" ht="25.5">
      <c r="A225" s="105"/>
      <c r="C225" s="106" t="s">
        <v>931</v>
      </c>
      <c r="D225" s="107" t="s">
        <v>161</v>
      </c>
      <c r="F225" s="108">
        <v>9.520000000000001</v>
      </c>
      <c r="G225" s="215"/>
      <c r="K225" s="109"/>
    </row>
    <row r="226" spans="1:75" ht="15">
      <c r="A226" s="23" t="s">
        <v>412</v>
      </c>
      <c r="B226" s="19" t="s">
        <v>658</v>
      </c>
      <c r="C226" s="135" t="s">
        <v>782</v>
      </c>
      <c r="D226" s="135"/>
      <c r="E226" s="19" t="s">
        <v>695</v>
      </c>
      <c r="F226" s="102">
        <f>'Stavební rozpočet'!F226</f>
        <v>7.5</v>
      </c>
      <c r="G226" s="214">
        <f>'Stavební rozpočet'!G226</f>
        <v>0</v>
      </c>
      <c r="H226" s="102">
        <f>F226*AO226</f>
        <v>0</v>
      </c>
      <c r="I226" s="102">
        <f>F226*AP226</f>
        <v>0</v>
      </c>
      <c r="J226" s="102">
        <f>F226*G226</f>
        <v>0</v>
      </c>
      <c r="K226" s="103" t="s">
        <v>406</v>
      </c>
      <c r="Z226" s="102">
        <f>IF(AQ226="5",BJ226,0)</f>
        <v>0</v>
      </c>
      <c r="AB226" s="102">
        <f>IF(AQ226="1",BH226,0)</f>
        <v>0</v>
      </c>
      <c r="AC226" s="102">
        <f>IF(AQ226="1",BI226,0)</f>
        <v>0</v>
      </c>
      <c r="AD226" s="102">
        <f>IF(AQ226="7",BH226,0)</f>
        <v>0</v>
      </c>
      <c r="AE226" s="102">
        <f>IF(AQ226="7",BI226,0)</f>
        <v>0</v>
      </c>
      <c r="AF226" s="102">
        <f>IF(AQ226="2",BH226,0)</f>
        <v>0</v>
      </c>
      <c r="AG226" s="102">
        <f>IF(AQ226="2",BI226,0)</f>
        <v>0</v>
      </c>
      <c r="AH226" s="102">
        <f>IF(AQ226="0",BJ226,0)</f>
        <v>0</v>
      </c>
      <c r="AI226" s="87" t="s">
        <v>566</v>
      </c>
      <c r="AJ226" s="102">
        <f>IF(AN226=0,J226,0)</f>
        <v>0</v>
      </c>
      <c r="AK226" s="102">
        <f>IF(AN226=12,J226,0)</f>
        <v>0</v>
      </c>
      <c r="AL226" s="102">
        <f>IF(AN226=21,J226,0)</f>
        <v>0</v>
      </c>
      <c r="AN226" s="102">
        <v>21</v>
      </c>
      <c r="AO226" s="102">
        <f>G226*0.43036099137931</f>
        <v>0</v>
      </c>
      <c r="AP226" s="102">
        <f>G226*(1-0.43036099137931)</f>
        <v>0</v>
      </c>
      <c r="AQ226" s="104" t="s">
        <v>831</v>
      </c>
      <c r="AV226" s="102">
        <f>AW226+AX226</f>
        <v>0</v>
      </c>
      <c r="AW226" s="102">
        <f>F226*AO226</f>
        <v>0</v>
      </c>
      <c r="AX226" s="102">
        <f>F226*AP226</f>
        <v>0</v>
      </c>
      <c r="AY226" s="104" t="s">
        <v>678</v>
      </c>
      <c r="AZ226" s="104" t="s">
        <v>912</v>
      </c>
      <c r="BA226" s="87" t="s">
        <v>870</v>
      </c>
      <c r="BC226" s="102">
        <f>AW226+AX226</f>
        <v>0</v>
      </c>
      <c r="BD226" s="102">
        <f>G226/(100-BE226)*100</f>
        <v>0</v>
      </c>
      <c r="BE226" s="102">
        <v>0</v>
      </c>
      <c r="BF226" s="102">
        <f>226</f>
        <v>226</v>
      </c>
      <c r="BH226" s="102">
        <f>F226*AO226</f>
        <v>0</v>
      </c>
      <c r="BI226" s="102">
        <f>F226*AP226</f>
        <v>0</v>
      </c>
      <c r="BJ226" s="102">
        <f>F226*G226</f>
        <v>0</v>
      </c>
      <c r="BK226" s="102"/>
      <c r="BL226" s="102">
        <v>764</v>
      </c>
      <c r="BW226" s="102">
        <v>21</v>
      </c>
    </row>
    <row r="227" spans="1:11" ht="15">
      <c r="A227" s="105"/>
      <c r="C227" s="106" t="s">
        <v>514</v>
      </c>
      <c r="D227" s="107" t="s">
        <v>101</v>
      </c>
      <c r="F227" s="108">
        <v>7.500000000000001</v>
      </c>
      <c r="G227" s="215"/>
      <c r="K227" s="109"/>
    </row>
    <row r="228" spans="1:75" ht="15">
      <c r="A228" s="23" t="s">
        <v>118</v>
      </c>
      <c r="B228" s="19" t="s">
        <v>752</v>
      </c>
      <c r="C228" s="135" t="s">
        <v>380</v>
      </c>
      <c r="D228" s="135"/>
      <c r="E228" s="19" t="s">
        <v>695</v>
      </c>
      <c r="F228" s="102">
        <f>'Stavební rozpočet'!F228</f>
        <v>44.6</v>
      </c>
      <c r="G228" s="214">
        <f>'Stavební rozpočet'!G228</f>
        <v>0</v>
      </c>
      <c r="H228" s="102">
        <f>F228*AO228</f>
        <v>0</v>
      </c>
      <c r="I228" s="102">
        <f>F228*AP228</f>
        <v>0</v>
      </c>
      <c r="J228" s="102">
        <f>F228*G228</f>
        <v>0</v>
      </c>
      <c r="K228" s="103" t="s">
        <v>406</v>
      </c>
      <c r="Z228" s="102">
        <f>IF(AQ228="5",BJ228,0)</f>
        <v>0</v>
      </c>
      <c r="AB228" s="102">
        <f>IF(AQ228="1",BH228,0)</f>
        <v>0</v>
      </c>
      <c r="AC228" s="102">
        <f>IF(AQ228="1",BI228,0)</f>
        <v>0</v>
      </c>
      <c r="AD228" s="102">
        <f>IF(AQ228="7",BH228,0)</f>
        <v>0</v>
      </c>
      <c r="AE228" s="102">
        <f>IF(AQ228="7",BI228,0)</f>
        <v>0</v>
      </c>
      <c r="AF228" s="102">
        <f>IF(AQ228="2",BH228,0)</f>
        <v>0</v>
      </c>
      <c r="AG228" s="102">
        <f>IF(AQ228="2",BI228,0)</f>
        <v>0</v>
      </c>
      <c r="AH228" s="102">
        <f>IF(AQ228="0",BJ228,0)</f>
        <v>0</v>
      </c>
      <c r="AI228" s="87" t="s">
        <v>566</v>
      </c>
      <c r="AJ228" s="102">
        <f>IF(AN228=0,J228,0)</f>
        <v>0</v>
      </c>
      <c r="AK228" s="102">
        <f>IF(AN228=12,J228,0)</f>
        <v>0</v>
      </c>
      <c r="AL228" s="102">
        <f>IF(AN228=21,J228,0)</f>
        <v>0</v>
      </c>
      <c r="AN228" s="102">
        <v>21</v>
      </c>
      <c r="AO228" s="102">
        <f>G228*0.0276546091015169</f>
        <v>0</v>
      </c>
      <c r="AP228" s="102">
        <f>G228*(1-0.0276546091015169)</f>
        <v>0</v>
      </c>
      <c r="AQ228" s="104" t="s">
        <v>831</v>
      </c>
      <c r="AV228" s="102">
        <f>AW228+AX228</f>
        <v>0</v>
      </c>
      <c r="AW228" s="102">
        <f>F228*AO228</f>
        <v>0</v>
      </c>
      <c r="AX228" s="102">
        <f>F228*AP228</f>
        <v>0</v>
      </c>
      <c r="AY228" s="104" t="s">
        <v>678</v>
      </c>
      <c r="AZ228" s="104" t="s">
        <v>912</v>
      </c>
      <c r="BA228" s="87" t="s">
        <v>870</v>
      </c>
      <c r="BC228" s="102">
        <f>AW228+AX228</f>
        <v>0</v>
      </c>
      <c r="BD228" s="102">
        <f>G228/(100-BE228)*100</f>
        <v>0</v>
      </c>
      <c r="BE228" s="102">
        <v>0</v>
      </c>
      <c r="BF228" s="102">
        <f>228</f>
        <v>228</v>
      </c>
      <c r="BH228" s="102">
        <f>F228*AO228</f>
        <v>0</v>
      </c>
      <c r="BI228" s="102">
        <f>F228*AP228</f>
        <v>0</v>
      </c>
      <c r="BJ228" s="102">
        <f>F228*G228</f>
        <v>0</v>
      </c>
      <c r="BK228" s="102"/>
      <c r="BL228" s="102">
        <v>764</v>
      </c>
      <c r="BW228" s="102">
        <v>21</v>
      </c>
    </row>
    <row r="229" spans="1:11" ht="15">
      <c r="A229" s="105"/>
      <c r="C229" s="106" t="s">
        <v>186</v>
      </c>
      <c r="D229" s="107" t="s">
        <v>354</v>
      </c>
      <c r="F229" s="108">
        <v>44.6</v>
      </c>
      <c r="G229" s="215"/>
      <c r="K229" s="109"/>
    </row>
    <row r="230" spans="1:75" ht="40.5" customHeight="1">
      <c r="A230" s="110" t="s">
        <v>602</v>
      </c>
      <c r="B230" s="62" t="s">
        <v>270</v>
      </c>
      <c r="C230" s="204" t="s">
        <v>709</v>
      </c>
      <c r="D230" s="204"/>
      <c r="E230" s="62" t="s">
        <v>695</v>
      </c>
      <c r="F230" s="111">
        <f>'Stavební rozpočet'!F230</f>
        <v>44.6</v>
      </c>
      <c r="G230" s="216">
        <f>'Stavební rozpočet'!G230</f>
        <v>0</v>
      </c>
      <c r="H230" s="111">
        <f>F230*AO230</f>
        <v>0</v>
      </c>
      <c r="I230" s="111">
        <f>F230*AP230</f>
        <v>0</v>
      </c>
      <c r="J230" s="111">
        <f>F230*G230</f>
        <v>0</v>
      </c>
      <c r="K230" s="112" t="s">
        <v>577</v>
      </c>
      <c r="Z230" s="102">
        <f>IF(AQ230="5",BJ230,0)</f>
        <v>0</v>
      </c>
      <c r="AB230" s="102">
        <f>IF(AQ230="1",BH230,0)</f>
        <v>0</v>
      </c>
      <c r="AC230" s="102">
        <f>IF(AQ230="1",BI230,0)</f>
        <v>0</v>
      </c>
      <c r="AD230" s="102">
        <f>IF(AQ230="7",BH230,0)</f>
        <v>0</v>
      </c>
      <c r="AE230" s="102">
        <f>IF(AQ230="7",BI230,0)</f>
        <v>0</v>
      </c>
      <c r="AF230" s="102">
        <f>IF(AQ230="2",BH230,0)</f>
        <v>0</v>
      </c>
      <c r="AG230" s="102">
        <f>IF(AQ230="2",BI230,0)</f>
        <v>0</v>
      </c>
      <c r="AH230" s="102">
        <f>IF(AQ230="0",BJ230,0)</f>
        <v>0</v>
      </c>
      <c r="AI230" s="87" t="s">
        <v>566</v>
      </c>
      <c r="AJ230" s="111">
        <f>IF(AN230=0,J230,0)</f>
        <v>0</v>
      </c>
      <c r="AK230" s="111">
        <f>IF(AN230=12,J230,0)</f>
        <v>0</v>
      </c>
      <c r="AL230" s="111">
        <f>IF(AN230=21,J230,0)</f>
        <v>0</v>
      </c>
      <c r="AN230" s="102">
        <v>21</v>
      </c>
      <c r="AO230" s="102">
        <f>G230*1</f>
        <v>0</v>
      </c>
      <c r="AP230" s="102">
        <f>G230*(1-1)</f>
        <v>0</v>
      </c>
      <c r="AQ230" s="113" t="s">
        <v>831</v>
      </c>
      <c r="AV230" s="102">
        <f>AW230+AX230</f>
        <v>0</v>
      </c>
      <c r="AW230" s="102">
        <f>F230*AO230</f>
        <v>0</v>
      </c>
      <c r="AX230" s="102">
        <f>F230*AP230</f>
        <v>0</v>
      </c>
      <c r="AY230" s="104" t="s">
        <v>678</v>
      </c>
      <c r="AZ230" s="104" t="s">
        <v>912</v>
      </c>
      <c r="BA230" s="87" t="s">
        <v>870</v>
      </c>
      <c r="BC230" s="102">
        <f>AW230+AX230</f>
        <v>0</v>
      </c>
      <c r="BD230" s="102">
        <f>G230/(100-BE230)*100</f>
        <v>0</v>
      </c>
      <c r="BE230" s="102">
        <v>0</v>
      </c>
      <c r="BF230" s="102">
        <f>230</f>
        <v>230</v>
      </c>
      <c r="BH230" s="111">
        <f>F230*AO230</f>
        <v>0</v>
      </c>
      <c r="BI230" s="111">
        <f>F230*AP230</f>
        <v>0</v>
      </c>
      <c r="BJ230" s="111">
        <f>F230*G230</f>
        <v>0</v>
      </c>
      <c r="BK230" s="111"/>
      <c r="BL230" s="102">
        <v>764</v>
      </c>
      <c r="BW230" s="102">
        <v>21</v>
      </c>
    </row>
    <row r="231" spans="1:11" ht="15">
      <c r="A231" s="105"/>
      <c r="C231" s="106" t="s">
        <v>186</v>
      </c>
      <c r="D231" s="107" t="s">
        <v>354</v>
      </c>
      <c r="F231" s="108">
        <v>44.6</v>
      </c>
      <c r="G231" s="215"/>
      <c r="K231" s="109"/>
    </row>
    <row r="232" spans="1:75" ht="35.25" customHeight="1">
      <c r="A232" s="23" t="s">
        <v>922</v>
      </c>
      <c r="B232" s="19" t="s">
        <v>240</v>
      </c>
      <c r="C232" s="135" t="s">
        <v>535</v>
      </c>
      <c r="D232" s="135"/>
      <c r="E232" s="19" t="s">
        <v>695</v>
      </c>
      <c r="F232" s="102">
        <f>'Stavební rozpočet'!F232</f>
        <v>40.04</v>
      </c>
      <c r="G232" s="214">
        <f>'Stavební rozpočet'!G232</f>
        <v>0</v>
      </c>
      <c r="H232" s="102">
        <f>F232*AO232</f>
        <v>0</v>
      </c>
      <c r="I232" s="102">
        <f>F232*AP232</f>
        <v>0</v>
      </c>
      <c r="J232" s="102">
        <f>F232*G232</f>
        <v>0</v>
      </c>
      <c r="K232" s="103" t="s">
        <v>406</v>
      </c>
      <c r="Z232" s="102">
        <f>IF(AQ232="5",BJ232,0)</f>
        <v>0</v>
      </c>
      <c r="AB232" s="102">
        <f>IF(AQ232="1",BH232,0)</f>
        <v>0</v>
      </c>
      <c r="AC232" s="102">
        <f>IF(AQ232="1",BI232,0)</f>
        <v>0</v>
      </c>
      <c r="AD232" s="102">
        <f>IF(AQ232="7",BH232,0)</f>
        <v>0</v>
      </c>
      <c r="AE232" s="102">
        <f>IF(AQ232="7",BI232,0)</f>
        <v>0</v>
      </c>
      <c r="AF232" s="102">
        <f>IF(AQ232="2",BH232,0)</f>
        <v>0</v>
      </c>
      <c r="AG232" s="102">
        <f>IF(AQ232="2",BI232,0)</f>
        <v>0</v>
      </c>
      <c r="AH232" s="102">
        <f>IF(AQ232="0",BJ232,0)</f>
        <v>0</v>
      </c>
      <c r="AI232" s="87" t="s">
        <v>566</v>
      </c>
      <c r="AJ232" s="102">
        <f>IF(AN232=0,J232,0)</f>
        <v>0</v>
      </c>
      <c r="AK232" s="102">
        <f>IF(AN232=12,J232,0)</f>
        <v>0</v>
      </c>
      <c r="AL232" s="102">
        <f>IF(AN232=21,J232,0)</f>
        <v>0</v>
      </c>
      <c r="AN232" s="102">
        <v>21</v>
      </c>
      <c r="AO232" s="102">
        <f>G232*0.886652119700748</f>
        <v>0</v>
      </c>
      <c r="AP232" s="102">
        <f>G232*(1-0.886652119700748)</f>
        <v>0</v>
      </c>
      <c r="AQ232" s="104" t="s">
        <v>831</v>
      </c>
      <c r="AV232" s="102">
        <f>AW232+AX232</f>
        <v>0</v>
      </c>
      <c r="AW232" s="102">
        <f>F232*AO232</f>
        <v>0</v>
      </c>
      <c r="AX232" s="102">
        <f>F232*AP232</f>
        <v>0</v>
      </c>
      <c r="AY232" s="104" t="s">
        <v>678</v>
      </c>
      <c r="AZ232" s="104" t="s">
        <v>912</v>
      </c>
      <c r="BA232" s="87" t="s">
        <v>870</v>
      </c>
      <c r="BC232" s="102">
        <f>AW232+AX232</f>
        <v>0</v>
      </c>
      <c r="BD232" s="102">
        <f>G232/(100-BE232)*100</f>
        <v>0</v>
      </c>
      <c r="BE232" s="102">
        <v>0</v>
      </c>
      <c r="BF232" s="102">
        <f>232</f>
        <v>232</v>
      </c>
      <c r="BH232" s="102">
        <f>F232*AO232</f>
        <v>0</v>
      </c>
      <c r="BI232" s="102">
        <f>F232*AP232</f>
        <v>0</v>
      </c>
      <c r="BJ232" s="102">
        <f>F232*G232</f>
        <v>0</v>
      </c>
      <c r="BK232" s="102"/>
      <c r="BL232" s="102">
        <v>764</v>
      </c>
      <c r="BW232" s="102">
        <v>21</v>
      </c>
    </row>
    <row r="233" spans="1:11" ht="15">
      <c r="A233" s="105"/>
      <c r="C233" s="106" t="s">
        <v>366</v>
      </c>
      <c r="D233" s="107" t="s">
        <v>140</v>
      </c>
      <c r="F233" s="108">
        <v>40.040000000000006</v>
      </c>
      <c r="G233" s="215"/>
      <c r="K233" s="109"/>
    </row>
    <row r="234" spans="1:75" ht="15">
      <c r="A234" s="23" t="s">
        <v>209</v>
      </c>
      <c r="B234" s="19" t="s">
        <v>705</v>
      </c>
      <c r="C234" s="135" t="s">
        <v>795</v>
      </c>
      <c r="D234" s="135"/>
      <c r="E234" s="19" t="s">
        <v>695</v>
      </c>
      <c r="F234" s="102">
        <f>'Stavební rozpočet'!F234</f>
        <v>48.6</v>
      </c>
      <c r="G234" s="214">
        <f>'Stavební rozpočet'!G234</f>
        <v>0</v>
      </c>
      <c r="H234" s="102">
        <f>F234*AO234</f>
        <v>0</v>
      </c>
      <c r="I234" s="102">
        <f>F234*AP234</f>
        <v>0</v>
      </c>
      <c r="J234" s="102">
        <f>F234*G234</f>
        <v>0</v>
      </c>
      <c r="K234" s="103" t="s">
        <v>406</v>
      </c>
      <c r="Z234" s="102">
        <f>IF(AQ234="5",BJ234,0)</f>
        <v>0</v>
      </c>
      <c r="AB234" s="102">
        <f>IF(AQ234="1",BH234,0)</f>
        <v>0</v>
      </c>
      <c r="AC234" s="102">
        <f>IF(AQ234="1",BI234,0)</f>
        <v>0</v>
      </c>
      <c r="AD234" s="102">
        <f>IF(AQ234="7",BH234,0)</f>
        <v>0</v>
      </c>
      <c r="AE234" s="102">
        <f>IF(AQ234="7",BI234,0)</f>
        <v>0</v>
      </c>
      <c r="AF234" s="102">
        <f>IF(AQ234="2",BH234,0)</f>
        <v>0</v>
      </c>
      <c r="AG234" s="102">
        <f>IF(AQ234="2",BI234,0)</f>
        <v>0</v>
      </c>
      <c r="AH234" s="102">
        <f>IF(AQ234="0",BJ234,0)</f>
        <v>0</v>
      </c>
      <c r="AI234" s="87" t="s">
        <v>566</v>
      </c>
      <c r="AJ234" s="102">
        <f>IF(AN234=0,J234,0)</f>
        <v>0</v>
      </c>
      <c r="AK234" s="102">
        <f>IF(AN234=12,J234,0)</f>
        <v>0</v>
      </c>
      <c r="AL234" s="102">
        <f>IF(AN234=21,J234,0)</f>
        <v>0</v>
      </c>
      <c r="AN234" s="102">
        <v>21</v>
      </c>
      <c r="AO234" s="102">
        <f>G234*0.465057471264368</f>
        <v>0</v>
      </c>
      <c r="AP234" s="102">
        <f>G234*(1-0.465057471264368)</f>
        <v>0</v>
      </c>
      <c r="AQ234" s="104" t="s">
        <v>831</v>
      </c>
      <c r="AV234" s="102">
        <f>AW234+AX234</f>
        <v>0</v>
      </c>
      <c r="AW234" s="102">
        <f>F234*AO234</f>
        <v>0</v>
      </c>
      <c r="AX234" s="102">
        <f>F234*AP234</f>
        <v>0</v>
      </c>
      <c r="AY234" s="104" t="s">
        <v>678</v>
      </c>
      <c r="AZ234" s="104" t="s">
        <v>912</v>
      </c>
      <c r="BA234" s="87" t="s">
        <v>870</v>
      </c>
      <c r="BC234" s="102">
        <f>AW234+AX234</f>
        <v>0</v>
      </c>
      <c r="BD234" s="102">
        <f>G234/(100-BE234)*100</f>
        <v>0</v>
      </c>
      <c r="BE234" s="102">
        <v>0</v>
      </c>
      <c r="BF234" s="102">
        <f>234</f>
        <v>234</v>
      </c>
      <c r="BH234" s="102">
        <f>F234*AO234</f>
        <v>0</v>
      </c>
      <c r="BI234" s="102">
        <f>F234*AP234</f>
        <v>0</v>
      </c>
      <c r="BJ234" s="102">
        <f>F234*G234</f>
        <v>0</v>
      </c>
      <c r="BK234" s="102"/>
      <c r="BL234" s="102">
        <v>764</v>
      </c>
      <c r="BW234" s="102">
        <v>21</v>
      </c>
    </row>
    <row r="235" spans="1:11" ht="15">
      <c r="A235" s="105"/>
      <c r="C235" s="106" t="s">
        <v>835</v>
      </c>
      <c r="D235" s="107" t="s">
        <v>577</v>
      </c>
      <c r="F235" s="108">
        <v>38.800000000000004</v>
      </c>
      <c r="G235" s="215"/>
      <c r="K235" s="109"/>
    </row>
    <row r="236" spans="1:11" ht="15">
      <c r="A236" s="105"/>
      <c r="C236" s="106" t="s">
        <v>816</v>
      </c>
      <c r="D236" s="107" t="s">
        <v>577</v>
      </c>
      <c r="F236" s="108">
        <v>9.8</v>
      </c>
      <c r="G236" s="215"/>
      <c r="K236" s="109"/>
    </row>
    <row r="237" spans="1:75" ht="15">
      <c r="A237" s="23" t="s">
        <v>438</v>
      </c>
      <c r="B237" s="19" t="s">
        <v>181</v>
      </c>
      <c r="C237" s="135" t="s">
        <v>647</v>
      </c>
      <c r="D237" s="135"/>
      <c r="E237" s="19" t="s">
        <v>695</v>
      </c>
      <c r="F237" s="102">
        <f>'Stavební rozpočet'!F237</f>
        <v>48.6</v>
      </c>
      <c r="G237" s="214">
        <f>'Stavební rozpočet'!G237</f>
        <v>0</v>
      </c>
      <c r="H237" s="102">
        <f>F237*AO237</f>
        <v>0</v>
      </c>
      <c r="I237" s="102">
        <f>F237*AP237</f>
        <v>0</v>
      </c>
      <c r="J237" s="102">
        <f>F237*G237</f>
        <v>0</v>
      </c>
      <c r="K237" s="103" t="s">
        <v>406</v>
      </c>
      <c r="Z237" s="102">
        <f>IF(AQ237="5",BJ237,0)</f>
        <v>0</v>
      </c>
      <c r="AB237" s="102">
        <f>IF(AQ237="1",BH237,0)</f>
        <v>0</v>
      </c>
      <c r="AC237" s="102">
        <f>IF(AQ237="1",BI237,0)</f>
        <v>0</v>
      </c>
      <c r="AD237" s="102">
        <f>IF(AQ237="7",BH237,0)</f>
        <v>0</v>
      </c>
      <c r="AE237" s="102">
        <f>IF(AQ237="7",BI237,0)</f>
        <v>0</v>
      </c>
      <c r="AF237" s="102">
        <f>IF(AQ237="2",BH237,0)</f>
        <v>0</v>
      </c>
      <c r="AG237" s="102">
        <f>IF(AQ237="2",BI237,0)</f>
        <v>0</v>
      </c>
      <c r="AH237" s="102">
        <f>IF(AQ237="0",BJ237,0)</f>
        <v>0</v>
      </c>
      <c r="AI237" s="87" t="s">
        <v>566</v>
      </c>
      <c r="AJ237" s="102">
        <f>IF(AN237=0,J237,0)</f>
        <v>0</v>
      </c>
      <c r="AK237" s="102">
        <f>IF(AN237=12,J237,0)</f>
        <v>0</v>
      </c>
      <c r="AL237" s="102">
        <f>IF(AN237=21,J237,0)</f>
        <v>0</v>
      </c>
      <c r="AN237" s="102">
        <v>21</v>
      </c>
      <c r="AO237" s="102">
        <f>G237*0.735677083333333</f>
        <v>0</v>
      </c>
      <c r="AP237" s="102">
        <f>G237*(1-0.735677083333333)</f>
        <v>0</v>
      </c>
      <c r="AQ237" s="104" t="s">
        <v>831</v>
      </c>
      <c r="AV237" s="102">
        <f>AW237+AX237</f>
        <v>0</v>
      </c>
      <c r="AW237" s="102">
        <f>F237*AO237</f>
        <v>0</v>
      </c>
      <c r="AX237" s="102">
        <f>F237*AP237</f>
        <v>0</v>
      </c>
      <c r="AY237" s="104" t="s">
        <v>678</v>
      </c>
      <c r="AZ237" s="104" t="s">
        <v>912</v>
      </c>
      <c r="BA237" s="87" t="s">
        <v>870</v>
      </c>
      <c r="BC237" s="102">
        <f>AW237+AX237</f>
        <v>0</v>
      </c>
      <c r="BD237" s="102">
        <f>G237/(100-BE237)*100</f>
        <v>0</v>
      </c>
      <c r="BE237" s="102">
        <v>0</v>
      </c>
      <c r="BF237" s="102">
        <f>237</f>
        <v>237</v>
      </c>
      <c r="BH237" s="102">
        <f>F237*AO237</f>
        <v>0</v>
      </c>
      <c r="BI237" s="102">
        <f>F237*AP237</f>
        <v>0</v>
      </c>
      <c r="BJ237" s="102">
        <f>F237*G237</f>
        <v>0</v>
      </c>
      <c r="BK237" s="102"/>
      <c r="BL237" s="102">
        <v>764</v>
      </c>
      <c r="BW237" s="102">
        <v>21</v>
      </c>
    </row>
    <row r="238" spans="1:11" ht="15">
      <c r="A238" s="105"/>
      <c r="C238" s="106" t="s">
        <v>835</v>
      </c>
      <c r="D238" s="107" t="s">
        <v>577</v>
      </c>
      <c r="F238" s="108">
        <v>38.800000000000004</v>
      </c>
      <c r="G238" s="215"/>
      <c r="K238" s="109"/>
    </row>
    <row r="239" spans="1:11" ht="15">
      <c r="A239" s="105"/>
      <c r="C239" s="106" t="s">
        <v>816</v>
      </c>
      <c r="D239" s="107" t="s">
        <v>577</v>
      </c>
      <c r="F239" s="108">
        <v>9.8</v>
      </c>
      <c r="G239" s="215"/>
      <c r="K239" s="109"/>
    </row>
    <row r="240" spans="1:75" ht="15">
      <c r="A240" s="23" t="s">
        <v>915</v>
      </c>
      <c r="B240" s="19" t="s">
        <v>646</v>
      </c>
      <c r="C240" s="135" t="s">
        <v>126</v>
      </c>
      <c r="D240" s="135"/>
      <c r="E240" s="19" t="s">
        <v>224</v>
      </c>
      <c r="F240" s="102">
        <f>'Stavební rozpočet'!F240</f>
        <v>5</v>
      </c>
      <c r="G240" s="214">
        <f>'Stavební rozpočet'!G240</f>
        <v>0</v>
      </c>
      <c r="H240" s="102">
        <f>F240*AO240</f>
        <v>0</v>
      </c>
      <c r="I240" s="102">
        <f>F240*AP240</f>
        <v>0</v>
      </c>
      <c r="J240" s="102">
        <f>F240*G240</f>
        <v>0</v>
      </c>
      <c r="K240" s="103" t="s">
        <v>406</v>
      </c>
      <c r="Z240" s="102">
        <f>IF(AQ240="5",BJ240,0)</f>
        <v>0</v>
      </c>
      <c r="AB240" s="102">
        <f>IF(AQ240="1",BH240,0)</f>
        <v>0</v>
      </c>
      <c r="AC240" s="102">
        <f>IF(AQ240="1",BI240,0)</f>
        <v>0</v>
      </c>
      <c r="AD240" s="102">
        <f>IF(AQ240="7",BH240,0)</f>
        <v>0</v>
      </c>
      <c r="AE240" s="102">
        <f>IF(AQ240="7",BI240,0)</f>
        <v>0</v>
      </c>
      <c r="AF240" s="102">
        <f>IF(AQ240="2",BH240,0)</f>
        <v>0</v>
      </c>
      <c r="AG240" s="102">
        <f>IF(AQ240="2",BI240,0)</f>
        <v>0</v>
      </c>
      <c r="AH240" s="102">
        <f>IF(AQ240="0",BJ240,0)</f>
        <v>0</v>
      </c>
      <c r="AI240" s="87" t="s">
        <v>566</v>
      </c>
      <c r="AJ240" s="102">
        <f>IF(AN240=0,J240,0)</f>
        <v>0</v>
      </c>
      <c r="AK240" s="102">
        <f>IF(AN240=12,J240,0)</f>
        <v>0</v>
      </c>
      <c r="AL240" s="102">
        <f>IF(AN240=21,J240,0)</f>
        <v>0</v>
      </c>
      <c r="AN240" s="102">
        <v>21</v>
      </c>
      <c r="AO240" s="102">
        <f>G240*0.127246192893401</f>
        <v>0</v>
      </c>
      <c r="AP240" s="102">
        <f>G240*(1-0.127246192893401)</f>
        <v>0</v>
      </c>
      <c r="AQ240" s="104" t="s">
        <v>831</v>
      </c>
      <c r="AV240" s="102">
        <f>AW240+AX240</f>
        <v>0</v>
      </c>
      <c r="AW240" s="102">
        <f>F240*AO240</f>
        <v>0</v>
      </c>
      <c r="AX240" s="102">
        <f>F240*AP240</f>
        <v>0</v>
      </c>
      <c r="AY240" s="104" t="s">
        <v>678</v>
      </c>
      <c r="AZ240" s="104" t="s">
        <v>912</v>
      </c>
      <c r="BA240" s="87" t="s">
        <v>870</v>
      </c>
      <c r="BC240" s="102">
        <f>AW240+AX240</f>
        <v>0</v>
      </c>
      <c r="BD240" s="102">
        <f>G240/(100-BE240)*100</f>
        <v>0</v>
      </c>
      <c r="BE240" s="102">
        <v>0</v>
      </c>
      <c r="BF240" s="102">
        <f>240</f>
        <v>240</v>
      </c>
      <c r="BH240" s="102">
        <f>F240*AO240</f>
        <v>0</v>
      </c>
      <c r="BI240" s="102">
        <f>F240*AP240</f>
        <v>0</v>
      </c>
      <c r="BJ240" s="102">
        <f>F240*G240</f>
        <v>0</v>
      </c>
      <c r="BK240" s="102"/>
      <c r="BL240" s="102">
        <v>764</v>
      </c>
      <c r="BW240" s="102">
        <v>21</v>
      </c>
    </row>
    <row r="241" spans="1:11" ht="15">
      <c r="A241" s="105"/>
      <c r="C241" s="106" t="s">
        <v>461</v>
      </c>
      <c r="D241" s="107" t="s">
        <v>577</v>
      </c>
      <c r="F241" s="108">
        <v>5</v>
      </c>
      <c r="G241" s="215"/>
      <c r="K241" s="109"/>
    </row>
    <row r="242" spans="1:75" ht="15">
      <c r="A242" s="23" t="s">
        <v>865</v>
      </c>
      <c r="B242" s="19" t="s">
        <v>729</v>
      </c>
      <c r="C242" s="135" t="s">
        <v>263</v>
      </c>
      <c r="D242" s="135"/>
      <c r="E242" s="19" t="s">
        <v>415</v>
      </c>
      <c r="F242" s="102">
        <f>'Stavební rozpočet'!F242</f>
        <v>1.28</v>
      </c>
      <c r="G242" s="214">
        <f>'Stavební rozpočet'!G242</f>
        <v>0</v>
      </c>
      <c r="H242" s="102">
        <f>F242*AO242</f>
        <v>0</v>
      </c>
      <c r="I242" s="102">
        <f>F242*AP242</f>
        <v>0</v>
      </c>
      <c r="J242" s="102">
        <f>F242*G242</f>
        <v>0</v>
      </c>
      <c r="K242" s="103" t="s">
        <v>406</v>
      </c>
      <c r="Z242" s="102">
        <f>IF(AQ242="5",BJ242,0)</f>
        <v>0</v>
      </c>
      <c r="AB242" s="102">
        <f>IF(AQ242="1",BH242,0)</f>
        <v>0</v>
      </c>
      <c r="AC242" s="102">
        <f>IF(AQ242="1",BI242,0)</f>
        <v>0</v>
      </c>
      <c r="AD242" s="102">
        <f>IF(AQ242="7",BH242,0)</f>
        <v>0</v>
      </c>
      <c r="AE242" s="102">
        <f>IF(AQ242="7",BI242,0)</f>
        <v>0</v>
      </c>
      <c r="AF242" s="102">
        <f>IF(AQ242="2",BH242,0)</f>
        <v>0</v>
      </c>
      <c r="AG242" s="102">
        <f>IF(AQ242="2",BI242,0)</f>
        <v>0</v>
      </c>
      <c r="AH242" s="102">
        <f>IF(AQ242="0",BJ242,0)</f>
        <v>0</v>
      </c>
      <c r="AI242" s="87" t="s">
        <v>566</v>
      </c>
      <c r="AJ242" s="102">
        <f>IF(AN242=0,J242,0)</f>
        <v>0</v>
      </c>
      <c r="AK242" s="102">
        <f>IF(AN242=12,J242,0)</f>
        <v>0</v>
      </c>
      <c r="AL242" s="102">
        <f>IF(AN242=21,J242,0)</f>
        <v>0</v>
      </c>
      <c r="AN242" s="102">
        <v>21</v>
      </c>
      <c r="AO242" s="102">
        <f>G242*0</f>
        <v>0</v>
      </c>
      <c r="AP242" s="102">
        <f>G242*(1-0)</f>
        <v>0</v>
      </c>
      <c r="AQ242" s="104" t="s">
        <v>461</v>
      </c>
      <c r="AV242" s="102">
        <f>AW242+AX242</f>
        <v>0</v>
      </c>
      <c r="AW242" s="102">
        <f>F242*AO242</f>
        <v>0</v>
      </c>
      <c r="AX242" s="102">
        <f>F242*AP242</f>
        <v>0</v>
      </c>
      <c r="AY242" s="104" t="s">
        <v>678</v>
      </c>
      <c r="AZ242" s="104" t="s">
        <v>912</v>
      </c>
      <c r="BA242" s="87" t="s">
        <v>870</v>
      </c>
      <c r="BC242" s="102">
        <f>AW242+AX242</f>
        <v>0</v>
      </c>
      <c r="BD242" s="102">
        <f>G242/(100-BE242)*100</f>
        <v>0</v>
      </c>
      <c r="BE242" s="102">
        <v>0</v>
      </c>
      <c r="BF242" s="102">
        <f>242</f>
        <v>242</v>
      </c>
      <c r="BH242" s="102">
        <f>F242*AO242</f>
        <v>0</v>
      </c>
      <c r="BI242" s="102">
        <f>F242*AP242</f>
        <v>0</v>
      </c>
      <c r="BJ242" s="102">
        <f>F242*G242</f>
        <v>0</v>
      </c>
      <c r="BK242" s="102"/>
      <c r="BL242" s="102">
        <v>764</v>
      </c>
      <c r="BW242" s="102">
        <v>21</v>
      </c>
    </row>
    <row r="243" spans="1:47" ht="15">
      <c r="A243" s="99" t="s">
        <v>577</v>
      </c>
      <c r="B243" s="22" t="s">
        <v>256</v>
      </c>
      <c r="C243" s="201" t="s">
        <v>720</v>
      </c>
      <c r="D243" s="201"/>
      <c r="E243" s="100" t="s">
        <v>774</v>
      </c>
      <c r="F243" s="100" t="s">
        <v>774</v>
      </c>
      <c r="G243" s="100" t="s">
        <v>774</v>
      </c>
      <c r="H243" s="82">
        <f>SUM(H244:H269)</f>
        <v>0</v>
      </c>
      <c r="I243" s="82">
        <f>SUM(I244:I269)</f>
        <v>0</v>
      </c>
      <c r="J243" s="82">
        <f>SUM(J244:J269)</f>
        <v>0</v>
      </c>
      <c r="K243" s="101" t="s">
        <v>577</v>
      </c>
      <c r="AI243" s="87" t="s">
        <v>566</v>
      </c>
      <c r="AS243" s="82">
        <f>SUM(AJ244:AJ269)</f>
        <v>0</v>
      </c>
      <c r="AT243" s="82">
        <f>SUM(AK244:AK269)</f>
        <v>0</v>
      </c>
      <c r="AU243" s="82">
        <f>SUM(AL244:AL269)</f>
        <v>0</v>
      </c>
    </row>
    <row r="244" spans="1:75" ht="15">
      <c r="A244" s="23" t="s">
        <v>16</v>
      </c>
      <c r="B244" s="19" t="s">
        <v>472</v>
      </c>
      <c r="C244" s="135" t="s">
        <v>5</v>
      </c>
      <c r="D244" s="135"/>
      <c r="E244" s="19" t="s">
        <v>819</v>
      </c>
      <c r="F244" s="102">
        <f>'Stavební rozpočet'!F244</f>
        <v>166.35</v>
      </c>
      <c r="G244" s="214">
        <f>'Stavební rozpočet'!G244</f>
        <v>0</v>
      </c>
      <c r="H244" s="102">
        <f>F244*AO244</f>
        <v>0</v>
      </c>
      <c r="I244" s="102">
        <f>F244*AP244</f>
        <v>0</v>
      </c>
      <c r="J244" s="102">
        <f>F244*G244</f>
        <v>0</v>
      </c>
      <c r="K244" s="103" t="s">
        <v>406</v>
      </c>
      <c r="Z244" s="102">
        <f>IF(AQ244="5",BJ244,0)</f>
        <v>0</v>
      </c>
      <c r="AB244" s="102">
        <f>IF(AQ244="1",BH244,0)</f>
        <v>0</v>
      </c>
      <c r="AC244" s="102">
        <f>IF(AQ244="1",BI244,0)</f>
        <v>0</v>
      </c>
      <c r="AD244" s="102">
        <f>IF(AQ244="7",BH244,0)</f>
        <v>0</v>
      </c>
      <c r="AE244" s="102">
        <f>IF(AQ244="7",BI244,0)</f>
        <v>0</v>
      </c>
      <c r="AF244" s="102">
        <f>IF(AQ244="2",BH244,0)</f>
        <v>0</v>
      </c>
      <c r="AG244" s="102">
        <f>IF(AQ244="2",BI244,0)</f>
        <v>0</v>
      </c>
      <c r="AH244" s="102">
        <f>IF(AQ244="0",BJ244,0)</f>
        <v>0</v>
      </c>
      <c r="AI244" s="87" t="s">
        <v>566</v>
      </c>
      <c r="AJ244" s="102">
        <f>IF(AN244=0,J244,0)</f>
        <v>0</v>
      </c>
      <c r="AK244" s="102">
        <f>IF(AN244=12,J244,0)</f>
        <v>0</v>
      </c>
      <c r="AL244" s="102">
        <f>IF(AN244=21,J244,0)</f>
        <v>0</v>
      </c>
      <c r="AN244" s="102">
        <v>21</v>
      </c>
      <c r="AO244" s="102">
        <f>G244*0</f>
        <v>0</v>
      </c>
      <c r="AP244" s="102">
        <f>G244*(1-0)</f>
        <v>0</v>
      </c>
      <c r="AQ244" s="104" t="s">
        <v>831</v>
      </c>
      <c r="AV244" s="102">
        <f>AW244+AX244</f>
        <v>0</v>
      </c>
      <c r="AW244" s="102">
        <f>F244*AO244</f>
        <v>0</v>
      </c>
      <c r="AX244" s="102">
        <f>F244*AP244</f>
        <v>0</v>
      </c>
      <c r="AY244" s="104" t="s">
        <v>187</v>
      </c>
      <c r="AZ244" s="104" t="s">
        <v>912</v>
      </c>
      <c r="BA244" s="87" t="s">
        <v>870</v>
      </c>
      <c r="BC244" s="102">
        <f>AW244+AX244</f>
        <v>0</v>
      </c>
      <c r="BD244" s="102">
        <f>G244/(100-BE244)*100</f>
        <v>0</v>
      </c>
      <c r="BE244" s="102">
        <v>0</v>
      </c>
      <c r="BF244" s="102">
        <f>244</f>
        <v>244</v>
      </c>
      <c r="BH244" s="102">
        <f>F244*AO244</f>
        <v>0</v>
      </c>
      <c r="BI244" s="102">
        <f>F244*AP244</f>
        <v>0</v>
      </c>
      <c r="BJ244" s="102">
        <f>F244*G244</f>
        <v>0</v>
      </c>
      <c r="BK244" s="102"/>
      <c r="BL244" s="102">
        <v>765</v>
      </c>
      <c r="BW244" s="102">
        <v>21</v>
      </c>
    </row>
    <row r="245" spans="1:11" ht="15">
      <c r="A245" s="105"/>
      <c r="C245" s="106" t="s">
        <v>197</v>
      </c>
      <c r="D245" s="107" t="s">
        <v>226</v>
      </c>
      <c r="F245" s="108">
        <v>151.15</v>
      </c>
      <c r="G245" s="215"/>
      <c r="K245" s="109"/>
    </row>
    <row r="246" spans="1:11" ht="15">
      <c r="A246" s="105"/>
      <c r="C246" s="106" t="s">
        <v>294</v>
      </c>
      <c r="D246" s="107" t="s">
        <v>718</v>
      </c>
      <c r="F246" s="108">
        <v>15.200000000000001</v>
      </c>
      <c r="G246" s="215"/>
      <c r="K246" s="109"/>
    </row>
    <row r="247" spans="1:75" ht="15">
      <c r="A247" s="23" t="s">
        <v>156</v>
      </c>
      <c r="B247" s="19" t="s">
        <v>383</v>
      </c>
      <c r="C247" s="135" t="s">
        <v>304</v>
      </c>
      <c r="D247" s="135"/>
      <c r="E247" s="19" t="s">
        <v>819</v>
      </c>
      <c r="F247" s="102">
        <f>'Stavební rozpočet'!F247</f>
        <v>166.35</v>
      </c>
      <c r="G247" s="214">
        <f>'Stavební rozpočet'!G247</f>
        <v>0</v>
      </c>
      <c r="H247" s="102">
        <f>F247*AO247</f>
        <v>0</v>
      </c>
      <c r="I247" s="102">
        <f>F247*AP247</f>
        <v>0</v>
      </c>
      <c r="J247" s="102">
        <f>F247*G247</f>
        <v>0</v>
      </c>
      <c r="K247" s="103" t="s">
        <v>406</v>
      </c>
      <c r="Z247" s="102">
        <f>IF(AQ247="5",BJ247,0)</f>
        <v>0</v>
      </c>
      <c r="AB247" s="102">
        <f>IF(AQ247="1",BH247,0)</f>
        <v>0</v>
      </c>
      <c r="AC247" s="102">
        <f>IF(AQ247="1",BI247,0)</f>
        <v>0</v>
      </c>
      <c r="AD247" s="102">
        <f>IF(AQ247="7",BH247,0)</f>
        <v>0</v>
      </c>
      <c r="AE247" s="102">
        <f>IF(AQ247="7",BI247,0)</f>
        <v>0</v>
      </c>
      <c r="AF247" s="102">
        <f>IF(AQ247="2",BH247,0)</f>
        <v>0</v>
      </c>
      <c r="AG247" s="102">
        <f>IF(AQ247="2",BI247,0)</f>
        <v>0</v>
      </c>
      <c r="AH247" s="102">
        <f>IF(AQ247="0",BJ247,0)</f>
        <v>0</v>
      </c>
      <c r="AI247" s="87" t="s">
        <v>566</v>
      </c>
      <c r="AJ247" s="102">
        <f>IF(AN247=0,J247,0)</f>
        <v>0</v>
      </c>
      <c r="AK247" s="102">
        <f>IF(AN247=12,J247,0)</f>
        <v>0</v>
      </c>
      <c r="AL247" s="102">
        <f>IF(AN247=21,J247,0)</f>
        <v>0</v>
      </c>
      <c r="AN247" s="102">
        <v>21</v>
      </c>
      <c r="AO247" s="102">
        <f>G247*0.0773</f>
        <v>0</v>
      </c>
      <c r="AP247" s="102">
        <f>G247*(1-0.0773)</f>
        <v>0</v>
      </c>
      <c r="AQ247" s="104" t="s">
        <v>831</v>
      </c>
      <c r="AV247" s="102">
        <f>AW247+AX247</f>
        <v>0</v>
      </c>
      <c r="AW247" s="102">
        <f>F247*AO247</f>
        <v>0</v>
      </c>
      <c r="AX247" s="102">
        <f>F247*AP247</f>
        <v>0</v>
      </c>
      <c r="AY247" s="104" t="s">
        <v>187</v>
      </c>
      <c r="AZ247" s="104" t="s">
        <v>912</v>
      </c>
      <c r="BA247" s="87" t="s">
        <v>870</v>
      </c>
      <c r="BC247" s="102">
        <f>AW247+AX247</f>
        <v>0</v>
      </c>
      <c r="BD247" s="102">
        <f>G247/(100-BE247)*100</f>
        <v>0</v>
      </c>
      <c r="BE247" s="102">
        <v>0</v>
      </c>
      <c r="BF247" s="102">
        <f>247</f>
        <v>247</v>
      </c>
      <c r="BH247" s="102">
        <f>F247*AO247</f>
        <v>0</v>
      </c>
      <c r="BI247" s="102">
        <f>F247*AP247</f>
        <v>0</v>
      </c>
      <c r="BJ247" s="102">
        <f>F247*G247</f>
        <v>0</v>
      </c>
      <c r="BK247" s="102"/>
      <c r="BL247" s="102">
        <v>765</v>
      </c>
      <c r="BW247" s="102">
        <v>21</v>
      </c>
    </row>
    <row r="248" spans="1:11" ht="15">
      <c r="A248" s="105"/>
      <c r="C248" s="106" t="s">
        <v>197</v>
      </c>
      <c r="D248" s="107" t="s">
        <v>226</v>
      </c>
      <c r="F248" s="108">
        <v>151.15</v>
      </c>
      <c r="G248" s="215"/>
      <c r="K248" s="109"/>
    </row>
    <row r="249" spans="1:11" ht="15">
      <c r="A249" s="105"/>
      <c r="C249" s="106" t="s">
        <v>294</v>
      </c>
      <c r="D249" s="107" t="s">
        <v>718</v>
      </c>
      <c r="F249" s="108">
        <v>15.200000000000001</v>
      </c>
      <c r="G249" s="215"/>
      <c r="K249" s="109"/>
    </row>
    <row r="250" spans="1:75" ht="15">
      <c r="A250" s="110" t="s">
        <v>191</v>
      </c>
      <c r="B250" s="62" t="s">
        <v>429</v>
      </c>
      <c r="C250" s="204" t="s">
        <v>39</v>
      </c>
      <c r="D250" s="204"/>
      <c r="E250" s="62" t="s">
        <v>819</v>
      </c>
      <c r="F250" s="111">
        <f>'Stavební rozpočet'!F250</f>
        <v>199.62</v>
      </c>
      <c r="G250" s="216">
        <f>'Stavební rozpočet'!G250</f>
        <v>0</v>
      </c>
      <c r="H250" s="111">
        <f>F250*AO250</f>
        <v>0</v>
      </c>
      <c r="I250" s="111">
        <f>F250*AP250</f>
        <v>0</v>
      </c>
      <c r="J250" s="111">
        <f>F250*G250</f>
        <v>0</v>
      </c>
      <c r="K250" s="112" t="s">
        <v>577</v>
      </c>
      <c r="Z250" s="102">
        <f>IF(AQ250="5",BJ250,0)</f>
        <v>0</v>
      </c>
      <c r="AB250" s="102">
        <f>IF(AQ250="1",BH250,0)</f>
        <v>0</v>
      </c>
      <c r="AC250" s="102">
        <f>IF(AQ250="1",BI250,0)</f>
        <v>0</v>
      </c>
      <c r="AD250" s="102">
        <f>IF(AQ250="7",BH250,0)</f>
        <v>0</v>
      </c>
      <c r="AE250" s="102">
        <f>IF(AQ250="7",BI250,0)</f>
        <v>0</v>
      </c>
      <c r="AF250" s="102">
        <f>IF(AQ250="2",BH250,0)</f>
        <v>0</v>
      </c>
      <c r="AG250" s="102">
        <f>IF(AQ250="2",BI250,0)</f>
        <v>0</v>
      </c>
      <c r="AH250" s="102">
        <f>IF(AQ250="0",BJ250,0)</f>
        <v>0</v>
      </c>
      <c r="AI250" s="87" t="s">
        <v>566</v>
      </c>
      <c r="AJ250" s="111">
        <f>IF(AN250=0,J250,0)</f>
        <v>0</v>
      </c>
      <c r="AK250" s="111">
        <f>IF(AN250=12,J250,0)</f>
        <v>0</v>
      </c>
      <c r="AL250" s="111">
        <f>IF(AN250=21,J250,0)</f>
        <v>0</v>
      </c>
      <c r="AN250" s="102">
        <v>21</v>
      </c>
      <c r="AO250" s="102">
        <f>G250*1</f>
        <v>0</v>
      </c>
      <c r="AP250" s="102">
        <f>G250*(1-1)</f>
        <v>0</v>
      </c>
      <c r="AQ250" s="113" t="s">
        <v>831</v>
      </c>
      <c r="AV250" s="102">
        <f>AW250+AX250</f>
        <v>0</v>
      </c>
      <c r="AW250" s="102">
        <f>F250*AO250</f>
        <v>0</v>
      </c>
      <c r="AX250" s="102">
        <f>F250*AP250</f>
        <v>0</v>
      </c>
      <c r="AY250" s="104" t="s">
        <v>187</v>
      </c>
      <c r="AZ250" s="104" t="s">
        <v>912</v>
      </c>
      <c r="BA250" s="87" t="s">
        <v>870</v>
      </c>
      <c r="BC250" s="102">
        <f>AW250+AX250</f>
        <v>0</v>
      </c>
      <c r="BD250" s="102">
        <f>G250/(100-BE250)*100</f>
        <v>0</v>
      </c>
      <c r="BE250" s="102">
        <v>0</v>
      </c>
      <c r="BF250" s="102">
        <f>250</f>
        <v>250</v>
      </c>
      <c r="BH250" s="111">
        <f>F250*AO250</f>
        <v>0</v>
      </c>
      <c r="BI250" s="111">
        <f>F250*AP250</f>
        <v>0</v>
      </c>
      <c r="BJ250" s="111">
        <f>F250*G250</f>
        <v>0</v>
      </c>
      <c r="BK250" s="111"/>
      <c r="BL250" s="102">
        <v>765</v>
      </c>
      <c r="BW250" s="102">
        <v>21</v>
      </c>
    </row>
    <row r="251" spans="1:11" ht="15">
      <c r="A251" s="105"/>
      <c r="C251" s="106" t="s">
        <v>197</v>
      </c>
      <c r="D251" s="107" t="s">
        <v>226</v>
      </c>
      <c r="F251" s="108">
        <v>151.15</v>
      </c>
      <c r="G251" s="215"/>
      <c r="K251" s="109"/>
    </row>
    <row r="252" spans="1:11" ht="15">
      <c r="A252" s="105"/>
      <c r="C252" s="106" t="s">
        <v>294</v>
      </c>
      <c r="D252" s="107" t="s">
        <v>718</v>
      </c>
      <c r="F252" s="108">
        <v>15.200000000000001</v>
      </c>
      <c r="G252" s="215"/>
      <c r="K252" s="109"/>
    </row>
    <row r="253" spans="1:11" ht="15">
      <c r="A253" s="105"/>
      <c r="C253" s="106" t="s">
        <v>697</v>
      </c>
      <c r="D253" s="107" t="s">
        <v>577</v>
      </c>
      <c r="F253" s="108">
        <v>33.27</v>
      </c>
      <c r="G253" s="215"/>
      <c r="K253" s="109"/>
    </row>
    <row r="254" spans="1:75" ht="15">
      <c r="A254" s="23" t="s">
        <v>660</v>
      </c>
      <c r="B254" s="19" t="s">
        <v>131</v>
      </c>
      <c r="C254" s="135" t="s">
        <v>464</v>
      </c>
      <c r="D254" s="135"/>
      <c r="E254" s="19" t="s">
        <v>819</v>
      </c>
      <c r="F254" s="102">
        <f>'Stavební rozpočet'!F254</f>
        <v>188.35</v>
      </c>
      <c r="G254" s="214">
        <f>'Stavební rozpočet'!G254</f>
        <v>0</v>
      </c>
      <c r="H254" s="102">
        <f>F254*AO254</f>
        <v>0</v>
      </c>
      <c r="I254" s="102">
        <f>F254*AP254</f>
        <v>0</v>
      </c>
      <c r="J254" s="102">
        <f>F254*G254</f>
        <v>0</v>
      </c>
      <c r="K254" s="103" t="s">
        <v>406</v>
      </c>
      <c r="Z254" s="102">
        <f>IF(AQ254="5",BJ254,0)</f>
        <v>0</v>
      </c>
      <c r="AB254" s="102">
        <f>IF(AQ254="1",BH254,0)</f>
        <v>0</v>
      </c>
      <c r="AC254" s="102">
        <f>IF(AQ254="1",BI254,0)</f>
        <v>0</v>
      </c>
      <c r="AD254" s="102">
        <f>IF(AQ254="7",BH254,0)</f>
        <v>0</v>
      </c>
      <c r="AE254" s="102">
        <f>IF(AQ254="7",BI254,0)</f>
        <v>0</v>
      </c>
      <c r="AF254" s="102">
        <f>IF(AQ254="2",BH254,0)</f>
        <v>0</v>
      </c>
      <c r="AG254" s="102">
        <f>IF(AQ254="2",BI254,0)</f>
        <v>0</v>
      </c>
      <c r="AH254" s="102">
        <f>IF(AQ254="0",BJ254,0)</f>
        <v>0</v>
      </c>
      <c r="AI254" s="87" t="s">
        <v>566</v>
      </c>
      <c r="AJ254" s="102">
        <f>IF(AN254=0,J254,0)</f>
        <v>0</v>
      </c>
      <c r="AK254" s="102">
        <f>IF(AN254=12,J254,0)</f>
        <v>0</v>
      </c>
      <c r="AL254" s="102">
        <f>IF(AN254=21,J254,0)</f>
        <v>0</v>
      </c>
      <c r="AN254" s="102">
        <v>21</v>
      </c>
      <c r="AO254" s="102">
        <f>G254*0.78011120804149</f>
        <v>0</v>
      </c>
      <c r="AP254" s="102">
        <f>G254*(1-0.78011120804149)</f>
        <v>0</v>
      </c>
      <c r="AQ254" s="104" t="s">
        <v>831</v>
      </c>
      <c r="AV254" s="102">
        <f>AW254+AX254</f>
        <v>0</v>
      </c>
      <c r="AW254" s="102">
        <f>F254*AO254</f>
        <v>0</v>
      </c>
      <c r="AX254" s="102">
        <f>F254*AP254</f>
        <v>0</v>
      </c>
      <c r="AY254" s="104" t="s">
        <v>187</v>
      </c>
      <c r="AZ254" s="104" t="s">
        <v>912</v>
      </c>
      <c r="BA254" s="87" t="s">
        <v>870</v>
      </c>
      <c r="BC254" s="102">
        <f>AW254+AX254</f>
        <v>0</v>
      </c>
      <c r="BD254" s="102">
        <f>G254/(100-BE254)*100</f>
        <v>0</v>
      </c>
      <c r="BE254" s="102">
        <v>0</v>
      </c>
      <c r="BF254" s="102">
        <f>254</f>
        <v>254</v>
      </c>
      <c r="BH254" s="102">
        <f>F254*AO254</f>
        <v>0</v>
      </c>
      <c r="BI254" s="102">
        <f>F254*AP254</f>
        <v>0</v>
      </c>
      <c r="BJ254" s="102">
        <f>F254*G254</f>
        <v>0</v>
      </c>
      <c r="BK254" s="102"/>
      <c r="BL254" s="102">
        <v>765</v>
      </c>
      <c r="BW254" s="102">
        <v>21</v>
      </c>
    </row>
    <row r="255" spans="1:11" ht="15">
      <c r="A255" s="105"/>
      <c r="C255" s="202" t="s">
        <v>349</v>
      </c>
      <c r="D255" s="202"/>
      <c r="E255" s="202"/>
      <c r="F255" s="202"/>
      <c r="G255" s="202"/>
      <c r="H255" s="202"/>
      <c r="I255" s="202"/>
      <c r="J255" s="202"/>
      <c r="K255" s="203"/>
    </row>
    <row r="256" spans="1:11" ht="15">
      <c r="A256" s="105"/>
      <c r="C256" s="106" t="s">
        <v>197</v>
      </c>
      <c r="D256" s="107" t="s">
        <v>226</v>
      </c>
      <c r="F256" s="108">
        <v>151.15</v>
      </c>
      <c r="G256" s="215"/>
      <c r="K256" s="109"/>
    </row>
    <row r="257" spans="1:11" ht="15">
      <c r="A257" s="105"/>
      <c r="C257" s="106" t="s">
        <v>294</v>
      </c>
      <c r="D257" s="107" t="s">
        <v>718</v>
      </c>
      <c r="F257" s="108">
        <v>15.200000000000001</v>
      </c>
      <c r="G257" s="215"/>
      <c r="K257" s="109"/>
    </row>
    <row r="258" spans="1:11" ht="15">
      <c r="A258" s="105"/>
      <c r="C258" s="106" t="s">
        <v>352</v>
      </c>
      <c r="D258" s="107" t="s">
        <v>42</v>
      </c>
      <c r="F258" s="108">
        <v>22.000000000000004</v>
      </c>
      <c r="G258" s="215"/>
      <c r="K258" s="109"/>
    </row>
    <row r="259" spans="1:75" ht="15">
      <c r="A259" s="23" t="s">
        <v>90</v>
      </c>
      <c r="B259" s="19" t="s">
        <v>937</v>
      </c>
      <c r="C259" s="135" t="s">
        <v>257</v>
      </c>
      <c r="D259" s="135"/>
      <c r="E259" s="19" t="s">
        <v>819</v>
      </c>
      <c r="F259" s="102">
        <f>'Stavební rozpočet'!F259</f>
        <v>354.7</v>
      </c>
      <c r="G259" s="214">
        <f>'Stavební rozpočet'!G259</f>
        <v>0</v>
      </c>
      <c r="H259" s="102">
        <f>F259*AO259</f>
        <v>0</v>
      </c>
      <c r="I259" s="102">
        <f>F259*AP259</f>
        <v>0</v>
      </c>
      <c r="J259" s="102">
        <f>F259*G259</f>
        <v>0</v>
      </c>
      <c r="K259" s="103" t="s">
        <v>406</v>
      </c>
      <c r="Z259" s="102">
        <f>IF(AQ259="5",BJ259,0)</f>
        <v>0</v>
      </c>
      <c r="AB259" s="102">
        <f>IF(AQ259="1",BH259,0)</f>
        <v>0</v>
      </c>
      <c r="AC259" s="102">
        <f>IF(AQ259="1",BI259,0)</f>
        <v>0</v>
      </c>
      <c r="AD259" s="102">
        <f>IF(AQ259="7",BH259,0)</f>
        <v>0</v>
      </c>
      <c r="AE259" s="102">
        <f>IF(AQ259="7",BI259,0)</f>
        <v>0</v>
      </c>
      <c r="AF259" s="102">
        <f>IF(AQ259="2",BH259,0)</f>
        <v>0</v>
      </c>
      <c r="AG259" s="102">
        <f>IF(AQ259="2",BI259,0)</f>
        <v>0</v>
      </c>
      <c r="AH259" s="102">
        <f>IF(AQ259="0",BJ259,0)</f>
        <v>0</v>
      </c>
      <c r="AI259" s="87" t="s">
        <v>566</v>
      </c>
      <c r="AJ259" s="102">
        <f>IF(AN259=0,J259,0)</f>
        <v>0</v>
      </c>
      <c r="AK259" s="102">
        <f>IF(AN259=12,J259,0)</f>
        <v>0</v>
      </c>
      <c r="AL259" s="102">
        <f>IF(AN259=21,J259,0)</f>
        <v>0</v>
      </c>
      <c r="AN259" s="102">
        <v>21</v>
      </c>
      <c r="AO259" s="102">
        <f>G259*0</f>
        <v>0</v>
      </c>
      <c r="AP259" s="102">
        <f>G259*(1-0)</f>
        <v>0</v>
      </c>
      <c r="AQ259" s="104" t="s">
        <v>831</v>
      </c>
      <c r="AV259" s="102">
        <f>AW259+AX259</f>
        <v>0</v>
      </c>
      <c r="AW259" s="102">
        <f>F259*AO259</f>
        <v>0</v>
      </c>
      <c r="AX259" s="102">
        <f>F259*AP259</f>
        <v>0</v>
      </c>
      <c r="AY259" s="104" t="s">
        <v>187</v>
      </c>
      <c r="AZ259" s="104" t="s">
        <v>912</v>
      </c>
      <c r="BA259" s="87" t="s">
        <v>870</v>
      </c>
      <c r="BC259" s="102">
        <f>AW259+AX259</f>
        <v>0</v>
      </c>
      <c r="BD259" s="102">
        <f>G259/(100-BE259)*100</f>
        <v>0</v>
      </c>
      <c r="BE259" s="102">
        <v>0</v>
      </c>
      <c r="BF259" s="102">
        <f>259</f>
        <v>259</v>
      </c>
      <c r="BH259" s="102">
        <f>F259*AO259</f>
        <v>0</v>
      </c>
      <c r="BI259" s="102">
        <f>F259*AP259</f>
        <v>0</v>
      </c>
      <c r="BJ259" s="102">
        <f>F259*G259</f>
        <v>0</v>
      </c>
      <c r="BK259" s="102"/>
      <c r="BL259" s="102">
        <v>765</v>
      </c>
      <c r="BW259" s="102">
        <v>21</v>
      </c>
    </row>
    <row r="260" spans="1:11" ht="15">
      <c r="A260" s="105"/>
      <c r="C260" s="106" t="s">
        <v>577</v>
      </c>
      <c r="D260" s="107" t="s">
        <v>147</v>
      </c>
      <c r="F260" s="108">
        <v>0</v>
      </c>
      <c r="G260" s="215"/>
      <c r="K260" s="109"/>
    </row>
    <row r="261" spans="1:11" ht="15">
      <c r="A261" s="105"/>
      <c r="C261" s="106" t="s">
        <v>197</v>
      </c>
      <c r="D261" s="107" t="s">
        <v>226</v>
      </c>
      <c r="F261" s="108">
        <v>151.15</v>
      </c>
      <c r="G261" s="215"/>
      <c r="K261" s="109"/>
    </row>
    <row r="262" spans="1:11" ht="15">
      <c r="A262" s="105"/>
      <c r="C262" s="106" t="s">
        <v>294</v>
      </c>
      <c r="D262" s="107" t="s">
        <v>718</v>
      </c>
      <c r="F262" s="108">
        <v>15.200000000000001</v>
      </c>
      <c r="G262" s="215"/>
      <c r="K262" s="109"/>
    </row>
    <row r="263" spans="1:11" ht="15">
      <c r="A263" s="105"/>
      <c r="C263" s="106" t="s">
        <v>197</v>
      </c>
      <c r="D263" s="107" t="s">
        <v>226</v>
      </c>
      <c r="F263" s="108">
        <v>151.15</v>
      </c>
      <c r="G263" s="215"/>
      <c r="K263" s="109"/>
    </row>
    <row r="264" spans="1:11" ht="15">
      <c r="A264" s="105"/>
      <c r="C264" s="106" t="s">
        <v>294</v>
      </c>
      <c r="D264" s="107" t="s">
        <v>718</v>
      </c>
      <c r="F264" s="108">
        <v>15.200000000000001</v>
      </c>
      <c r="G264" s="215"/>
      <c r="K264" s="109"/>
    </row>
    <row r="265" spans="1:11" ht="15">
      <c r="A265" s="105"/>
      <c r="C265" s="106" t="s">
        <v>352</v>
      </c>
      <c r="D265" s="107" t="s">
        <v>42</v>
      </c>
      <c r="F265" s="108">
        <v>22.000000000000004</v>
      </c>
      <c r="G265" s="215"/>
      <c r="K265" s="109"/>
    </row>
    <row r="266" spans="1:75" ht="15">
      <c r="A266" s="23" t="s">
        <v>655</v>
      </c>
      <c r="B266" s="19" t="s">
        <v>731</v>
      </c>
      <c r="C266" s="135" t="s">
        <v>368</v>
      </c>
      <c r="D266" s="135"/>
      <c r="E266" s="19" t="s">
        <v>819</v>
      </c>
      <c r="F266" s="102">
        <f>'Stavební rozpočet'!F266</f>
        <v>22</v>
      </c>
      <c r="G266" s="214">
        <f>'Stavební rozpočet'!G266</f>
        <v>0</v>
      </c>
      <c r="H266" s="102">
        <f>F266*AO266</f>
        <v>0</v>
      </c>
      <c r="I266" s="102">
        <f>F266*AP266</f>
        <v>0</v>
      </c>
      <c r="J266" s="102">
        <f>F266*G266</f>
        <v>0</v>
      </c>
      <c r="K266" s="103" t="s">
        <v>406</v>
      </c>
      <c r="Z266" s="102">
        <f>IF(AQ266="5",BJ266,0)</f>
        <v>0</v>
      </c>
      <c r="AB266" s="102">
        <f>IF(AQ266="1",BH266,0)</f>
        <v>0</v>
      </c>
      <c r="AC266" s="102">
        <f>IF(AQ266="1",BI266,0)</f>
        <v>0</v>
      </c>
      <c r="AD266" s="102">
        <f>IF(AQ266="7",BH266,0)</f>
        <v>0</v>
      </c>
      <c r="AE266" s="102">
        <f>IF(AQ266="7",BI266,0)</f>
        <v>0</v>
      </c>
      <c r="AF266" s="102">
        <f>IF(AQ266="2",BH266,0)</f>
        <v>0</v>
      </c>
      <c r="AG266" s="102">
        <f>IF(AQ266="2",BI266,0)</f>
        <v>0</v>
      </c>
      <c r="AH266" s="102">
        <f>IF(AQ266="0",BJ266,0)</f>
        <v>0</v>
      </c>
      <c r="AI266" s="87" t="s">
        <v>566</v>
      </c>
      <c r="AJ266" s="102">
        <f>IF(AN266=0,J266,0)</f>
        <v>0</v>
      </c>
      <c r="AK266" s="102">
        <f>IF(AN266=12,J266,0)</f>
        <v>0</v>
      </c>
      <c r="AL266" s="102">
        <f>IF(AN266=21,J266,0)</f>
        <v>0</v>
      </c>
      <c r="AN266" s="102">
        <v>21</v>
      </c>
      <c r="AO266" s="102">
        <f>G266*0</f>
        <v>0</v>
      </c>
      <c r="AP266" s="102">
        <f>G266*(1-0)</f>
        <v>0</v>
      </c>
      <c r="AQ266" s="104" t="s">
        <v>831</v>
      </c>
      <c r="AV266" s="102">
        <f>AW266+AX266</f>
        <v>0</v>
      </c>
      <c r="AW266" s="102">
        <f>F266*AO266</f>
        <v>0</v>
      </c>
      <c r="AX266" s="102">
        <f>F266*AP266</f>
        <v>0</v>
      </c>
      <c r="AY266" s="104" t="s">
        <v>187</v>
      </c>
      <c r="AZ266" s="104" t="s">
        <v>912</v>
      </c>
      <c r="BA266" s="87" t="s">
        <v>870</v>
      </c>
      <c r="BC266" s="102">
        <f>AW266+AX266</f>
        <v>0</v>
      </c>
      <c r="BD266" s="102">
        <f>G266/(100-BE266)*100</f>
        <v>0</v>
      </c>
      <c r="BE266" s="102">
        <v>0</v>
      </c>
      <c r="BF266" s="102">
        <f>266</f>
        <v>266</v>
      </c>
      <c r="BH266" s="102">
        <f>F266*AO266</f>
        <v>0</v>
      </c>
      <c r="BI266" s="102">
        <f>F266*AP266</f>
        <v>0</v>
      </c>
      <c r="BJ266" s="102">
        <f>F266*G266</f>
        <v>0</v>
      </c>
      <c r="BK266" s="102"/>
      <c r="BL266" s="102">
        <v>765</v>
      </c>
      <c r="BW266" s="102">
        <v>21</v>
      </c>
    </row>
    <row r="267" spans="1:11" ht="15">
      <c r="A267" s="105"/>
      <c r="C267" s="106" t="s">
        <v>577</v>
      </c>
      <c r="D267" s="107" t="s">
        <v>927</v>
      </c>
      <c r="F267" s="108">
        <v>0</v>
      </c>
      <c r="G267" s="215"/>
      <c r="K267" s="109"/>
    </row>
    <row r="268" spans="1:11" ht="15">
      <c r="A268" s="105"/>
      <c r="C268" s="106" t="s">
        <v>352</v>
      </c>
      <c r="D268" s="107" t="s">
        <v>42</v>
      </c>
      <c r="F268" s="108">
        <v>22.000000000000004</v>
      </c>
      <c r="G268" s="215"/>
      <c r="K268" s="109"/>
    </row>
    <row r="269" spans="1:75" ht="15">
      <c r="A269" s="23" t="s">
        <v>520</v>
      </c>
      <c r="B269" s="19" t="s">
        <v>489</v>
      </c>
      <c r="C269" s="135" t="s">
        <v>644</v>
      </c>
      <c r="D269" s="135"/>
      <c r="E269" s="19" t="s">
        <v>415</v>
      </c>
      <c r="F269" s="102">
        <f>'Stavební rozpočet'!F269</f>
        <v>0.15</v>
      </c>
      <c r="G269" s="214">
        <f>'Stavební rozpočet'!G269</f>
        <v>0</v>
      </c>
      <c r="H269" s="102">
        <f>F269*AO269</f>
        <v>0</v>
      </c>
      <c r="I269" s="102">
        <f>F269*AP269</f>
        <v>0</v>
      </c>
      <c r="J269" s="102">
        <f>F269*G269</f>
        <v>0</v>
      </c>
      <c r="K269" s="103" t="s">
        <v>406</v>
      </c>
      <c r="Z269" s="102">
        <f>IF(AQ269="5",BJ269,0)</f>
        <v>0</v>
      </c>
      <c r="AB269" s="102">
        <f>IF(AQ269="1",BH269,0)</f>
        <v>0</v>
      </c>
      <c r="AC269" s="102">
        <f>IF(AQ269="1",BI269,0)</f>
        <v>0</v>
      </c>
      <c r="AD269" s="102">
        <f>IF(AQ269="7",BH269,0)</f>
        <v>0</v>
      </c>
      <c r="AE269" s="102">
        <f>IF(AQ269="7",BI269,0)</f>
        <v>0</v>
      </c>
      <c r="AF269" s="102">
        <f>IF(AQ269="2",BH269,0)</f>
        <v>0</v>
      </c>
      <c r="AG269" s="102">
        <f>IF(AQ269="2",BI269,0)</f>
        <v>0</v>
      </c>
      <c r="AH269" s="102">
        <f>IF(AQ269="0",BJ269,0)</f>
        <v>0</v>
      </c>
      <c r="AI269" s="87" t="s">
        <v>566</v>
      </c>
      <c r="AJ269" s="102">
        <f>IF(AN269=0,J269,0)</f>
        <v>0</v>
      </c>
      <c r="AK269" s="102">
        <f>IF(AN269=12,J269,0)</f>
        <v>0</v>
      </c>
      <c r="AL269" s="102">
        <f>IF(AN269=21,J269,0)</f>
        <v>0</v>
      </c>
      <c r="AN269" s="102">
        <v>21</v>
      </c>
      <c r="AO269" s="102">
        <f>G269*0</f>
        <v>0</v>
      </c>
      <c r="AP269" s="102">
        <f>G269*(1-0)</f>
        <v>0</v>
      </c>
      <c r="AQ269" s="104" t="s">
        <v>461</v>
      </c>
      <c r="AV269" s="102">
        <f>AW269+AX269</f>
        <v>0</v>
      </c>
      <c r="AW269" s="102">
        <f>F269*AO269</f>
        <v>0</v>
      </c>
      <c r="AX269" s="102">
        <f>F269*AP269</f>
        <v>0</v>
      </c>
      <c r="AY269" s="104" t="s">
        <v>187</v>
      </c>
      <c r="AZ269" s="104" t="s">
        <v>912</v>
      </c>
      <c r="BA269" s="87" t="s">
        <v>870</v>
      </c>
      <c r="BC269" s="102">
        <f>AW269+AX269</f>
        <v>0</v>
      </c>
      <c r="BD269" s="102">
        <f>G269/(100-BE269)*100</f>
        <v>0</v>
      </c>
      <c r="BE269" s="102">
        <v>0</v>
      </c>
      <c r="BF269" s="102">
        <f>269</f>
        <v>269</v>
      </c>
      <c r="BH269" s="102">
        <f>F269*AO269</f>
        <v>0</v>
      </c>
      <c r="BI269" s="102">
        <f>F269*AP269</f>
        <v>0</v>
      </c>
      <c r="BJ269" s="102">
        <f>F269*G269</f>
        <v>0</v>
      </c>
      <c r="BK269" s="102"/>
      <c r="BL269" s="102">
        <v>765</v>
      </c>
      <c r="BW269" s="102">
        <v>21</v>
      </c>
    </row>
    <row r="270" spans="1:47" ht="15">
      <c r="A270" s="99" t="s">
        <v>577</v>
      </c>
      <c r="B270" s="22" t="s">
        <v>410</v>
      </c>
      <c r="C270" s="201" t="s">
        <v>286</v>
      </c>
      <c r="D270" s="201"/>
      <c r="E270" s="100" t="s">
        <v>774</v>
      </c>
      <c r="F270" s="100" t="s">
        <v>774</v>
      </c>
      <c r="G270" s="100" t="s">
        <v>774</v>
      </c>
      <c r="H270" s="82">
        <f>SUM(H271:H277)</f>
        <v>0</v>
      </c>
      <c r="I270" s="82">
        <f>SUM(I271:I277)</f>
        <v>0</v>
      </c>
      <c r="J270" s="82">
        <f>SUM(J271:J277)</f>
        <v>0</v>
      </c>
      <c r="K270" s="101" t="s">
        <v>577</v>
      </c>
      <c r="AI270" s="87" t="s">
        <v>566</v>
      </c>
      <c r="AS270" s="82">
        <f>SUM(AJ271:AJ277)</f>
        <v>0</v>
      </c>
      <c r="AT270" s="82">
        <f>SUM(AK271:AK277)</f>
        <v>0</v>
      </c>
      <c r="AU270" s="82">
        <f>SUM(AL271:AL277)</f>
        <v>0</v>
      </c>
    </row>
    <row r="271" spans="1:75" ht="25.5">
      <c r="A271" s="23" t="s">
        <v>840</v>
      </c>
      <c r="B271" s="19" t="s">
        <v>288</v>
      </c>
      <c r="C271" s="135" t="s">
        <v>555</v>
      </c>
      <c r="D271" s="135"/>
      <c r="E271" s="19" t="s">
        <v>321</v>
      </c>
      <c r="F271" s="102">
        <f>'Stavební rozpočet'!F271</f>
        <v>1</v>
      </c>
      <c r="G271" s="214">
        <f>'Stavební rozpočet'!G271</f>
        <v>0</v>
      </c>
      <c r="H271" s="102">
        <f>F271*AO271</f>
        <v>0</v>
      </c>
      <c r="I271" s="102">
        <f>F271*AP271</f>
        <v>0</v>
      </c>
      <c r="J271" s="102">
        <f>F271*G271</f>
        <v>0</v>
      </c>
      <c r="K271" s="103" t="s">
        <v>406</v>
      </c>
      <c r="Z271" s="102">
        <f>IF(AQ271="5",BJ271,0)</f>
        <v>0</v>
      </c>
      <c r="AB271" s="102">
        <f>IF(AQ271="1",BH271,0)</f>
        <v>0</v>
      </c>
      <c r="AC271" s="102">
        <f>IF(AQ271="1",BI271,0)</f>
        <v>0</v>
      </c>
      <c r="AD271" s="102">
        <f>IF(AQ271="7",BH271,0)</f>
        <v>0</v>
      </c>
      <c r="AE271" s="102">
        <f>IF(AQ271="7",BI271,0)</f>
        <v>0</v>
      </c>
      <c r="AF271" s="102">
        <f>IF(AQ271="2",BH271,0)</f>
        <v>0</v>
      </c>
      <c r="AG271" s="102">
        <f>IF(AQ271="2",BI271,0)</f>
        <v>0</v>
      </c>
      <c r="AH271" s="102">
        <f>IF(AQ271="0",BJ271,0)</f>
        <v>0</v>
      </c>
      <c r="AI271" s="87" t="s">
        <v>566</v>
      </c>
      <c r="AJ271" s="102">
        <f>IF(AN271=0,J271,0)</f>
        <v>0</v>
      </c>
      <c r="AK271" s="102">
        <f>IF(AN271=12,J271,0)</f>
        <v>0</v>
      </c>
      <c r="AL271" s="102">
        <f>IF(AN271=21,J271,0)</f>
        <v>0</v>
      </c>
      <c r="AN271" s="102">
        <v>21</v>
      </c>
      <c r="AO271" s="102">
        <f>G271*0.33378</f>
        <v>0</v>
      </c>
      <c r="AP271" s="102">
        <f>G271*(1-0.33378)</f>
        <v>0</v>
      </c>
      <c r="AQ271" s="104" t="s">
        <v>831</v>
      </c>
      <c r="AV271" s="102">
        <f>AW271+AX271</f>
        <v>0</v>
      </c>
      <c r="AW271" s="102">
        <f>F271*AO271</f>
        <v>0</v>
      </c>
      <c r="AX271" s="102">
        <f>F271*AP271</f>
        <v>0</v>
      </c>
      <c r="AY271" s="104" t="s">
        <v>264</v>
      </c>
      <c r="AZ271" s="104" t="s">
        <v>912</v>
      </c>
      <c r="BA271" s="87" t="s">
        <v>870</v>
      </c>
      <c r="BC271" s="102">
        <f>AW271+AX271</f>
        <v>0</v>
      </c>
      <c r="BD271" s="102">
        <f>G271/(100-BE271)*100</f>
        <v>0</v>
      </c>
      <c r="BE271" s="102">
        <v>0</v>
      </c>
      <c r="BF271" s="102">
        <f>271</f>
        <v>271</v>
      </c>
      <c r="BH271" s="102">
        <f>F271*AO271</f>
        <v>0</v>
      </c>
      <c r="BI271" s="102">
        <f>F271*AP271</f>
        <v>0</v>
      </c>
      <c r="BJ271" s="102">
        <f>F271*G271</f>
        <v>0</v>
      </c>
      <c r="BK271" s="102"/>
      <c r="BL271" s="102">
        <v>767</v>
      </c>
      <c r="BW271" s="102">
        <v>21</v>
      </c>
    </row>
    <row r="272" spans="1:11" ht="15">
      <c r="A272" s="105"/>
      <c r="C272" s="106" t="s">
        <v>829</v>
      </c>
      <c r="D272" s="107" t="s">
        <v>21</v>
      </c>
      <c r="F272" s="108">
        <v>1</v>
      </c>
      <c r="G272" s="215"/>
      <c r="K272" s="109"/>
    </row>
    <row r="273" spans="1:75" ht="25.5">
      <c r="A273" s="23" t="s">
        <v>769</v>
      </c>
      <c r="B273" s="19" t="s">
        <v>34</v>
      </c>
      <c r="C273" s="135" t="s">
        <v>14</v>
      </c>
      <c r="D273" s="135"/>
      <c r="E273" s="19" t="s">
        <v>321</v>
      </c>
      <c r="F273" s="102">
        <f>'Stavební rozpočet'!F273</f>
        <v>1</v>
      </c>
      <c r="G273" s="214">
        <f>'Stavební rozpočet'!G273</f>
        <v>0</v>
      </c>
      <c r="H273" s="102">
        <f>F273*AO273</f>
        <v>0</v>
      </c>
      <c r="I273" s="102">
        <f>F273*AP273</f>
        <v>0</v>
      </c>
      <c r="J273" s="102">
        <f>F273*G273</f>
        <v>0</v>
      </c>
      <c r="K273" s="103" t="s">
        <v>406</v>
      </c>
      <c r="Z273" s="102">
        <f>IF(AQ273="5",BJ273,0)</f>
        <v>0</v>
      </c>
      <c r="AB273" s="102">
        <f>IF(AQ273="1",BH273,0)</f>
        <v>0</v>
      </c>
      <c r="AC273" s="102">
        <f>IF(AQ273="1",BI273,0)</f>
        <v>0</v>
      </c>
      <c r="AD273" s="102">
        <f>IF(AQ273="7",BH273,0)</f>
        <v>0</v>
      </c>
      <c r="AE273" s="102">
        <f>IF(AQ273="7",BI273,0)</f>
        <v>0</v>
      </c>
      <c r="AF273" s="102">
        <f>IF(AQ273="2",BH273,0)</f>
        <v>0</v>
      </c>
      <c r="AG273" s="102">
        <f>IF(AQ273="2",BI273,0)</f>
        <v>0</v>
      </c>
      <c r="AH273" s="102">
        <f>IF(AQ273="0",BJ273,0)</f>
        <v>0</v>
      </c>
      <c r="AI273" s="87" t="s">
        <v>566</v>
      </c>
      <c r="AJ273" s="102">
        <f>IF(AN273=0,J273,0)</f>
        <v>0</v>
      </c>
      <c r="AK273" s="102">
        <f>IF(AN273=12,J273,0)</f>
        <v>0</v>
      </c>
      <c r="AL273" s="102">
        <f>IF(AN273=21,J273,0)</f>
        <v>0</v>
      </c>
      <c r="AN273" s="102">
        <v>21</v>
      </c>
      <c r="AO273" s="102">
        <f>G273*0.33378</f>
        <v>0</v>
      </c>
      <c r="AP273" s="102">
        <f>G273*(1-0.33378)</f>
        <v>0</v>
      </c>
      <c r="AQ273" s="104" t="s">
        <v>831</v>
      </c>
      <c r="AV273" s="102">
        <f>AW273+AX273</f>
        <v>0</v>
      </c>
      <c r="AW273" s="102">
        <f>F273*AO273</f>
        <v>0</v>
      </c>
      <c r="AX273" s="102">
        <f>F273*AP273</f>
        <v>0</v>
      </c>
      <c r="AY273" s="104" t="s">
        <v>264</v>
      </c>
      <c r="AZ273" s="104" t="s">
        <v>912</v>
      </c>
      <c r="BA273" s="87" t="s">
        <v>870</v>
      </c>
      <c r="BC273" s="102">
        <f>AW273+AX273</f>
        <v>0</v>
      </c>
      <c r="BD273" s="102">
        <f>G273/(100-BE273)*100</f>
        <v>0</v>
      </c>
      <c r="BE273" s="102">
        <v>0</v>
      </c>
      <c r="BF273" s="102">
        <f>273</f>
        <v>273</v>
      </c>
      <c r="BH273" s="102">
        <f>F273*AO273</f>
        <v>0</v>
      </c>
      <c r="BI273" s="102">
        <f>F273*AP273</f>
        <v>0</v>
      </c>
      <c r="BJ273" s="102">
        <f>F273*G273</f>
        <v>0</v>
      </c>
      <c r="BK273" s="102"/>
      <c r="BL273" s="102">
        <v>767</v>
      </c>
      <c r="BW273" s="102">
        <v>21</v>
      </c>
    </row>
    <row r="274" spans="1:11" ht="15">
      <c r="A274" s="105"/>
      <c r="C274" s="106" t="s">
        <v>829</v>
      </c>
      <c r="D274" s="107" t="s">
        <v>680</v>
      </c>
      <c r="F274" s="108">
        <v>1</v>
      </c>
      <c r="G274" s="215"/>
      <c r="K274" s="109"/>
    </row>
    <row r="275" spans="1:75" ht="25.5">
      <c r="A275" s="23" t="s">
        <v>564</v>
      </c>
      <c r="B275" s="19" t="s">
        <v>225</v>
      </c>
      <c r="C275" s="135" t="s">
        <v>107</v>
      </c>
      <c r="D275" s="135"/>
      <c r="E275" s="19" t="s">
        <v>321</v>
      </c>
      <c r="F275" s="102">
        <f>'Stavební rozpočet'!F275</f>
        <v>1</v>
      </c>
      <c r="G275" s="214">
        <f>'Stavební rozpočet'!G275</f>
        <v>0</v>
      </c>
      <c r="H275" s="102">
        <f>F275*AO275</f>
        <v>0</v>
      </c>
      <c r="I275" s="102">
        <f>F275*AP275</f>
        <v>0</v>
      </c>
      <c r="J275" s="102">
        <f>F275*G275</f>
        <v>0</v>
      </c>
      <c r="K275" s="103" t="s">
        <v>406</v>
      </c>
      <c r="Z275" s="102">
        <f>IF(AQ275="5",BJ275,0)</f>
        <v>0</v>
      </c>
      <c r="AB275" s="102">
        <f>IF(AQ275="1",BH275,0)</f>
        <v>0</v>
      </c>
      <c r="AC275" s="102">
        <f>IF(AQ275="1",BI275,0)</f>
        <v>0</v>
      </c>
      <c r="AD275" s="102">
        <f>IF(AQ275="7",BH275,0)</f>
        <v>0</v>
      </c>
      <c r="AE275" s="102">
        <f>IF(AQ275="7",BI275,0)</f>
        <v>0</v>
      </c>
      <c r="AF275" s="102">
        <f>IF(AQ275="2",BH275,0)</f>
        <v>0</v>
      </c>
      <c r="AG275" s="102">
        <f>IF(AQ275="2",BI275,0)</f>
        <v>0</v>
      </c>
      <c r="AH275" s="102">
        <f>IF(AQ275="0",BJ275,0)</f>
        <v>0</v>
      </c>
      <c r="AI275" s="87" t="s">
        <v>566</v>
      </c>
      <c r="AJ275" s="102">
        <f>IF(AN275=0,J275,0)</f>
        <v>0</v>
      </c>
      <c r="AK275" s="102">
        <f>IF(AN275=12,J275,0)</f>
        <v>0</v>
      </c>
      <c r="AL275" s="102">
        <f>IF(AN275=21,J275,0)</f>
        <v>0</v>
      </c>
      <c r="AN275" s="102">
        <v>21</v>
      </c>
      <c r="AO275" s="102">
        <f>G275*0.33378</f>
        <v>0</v>
      </c>
      <c r="AP275" s="102">
        <f>G275*(1-0.33378)</f>
        <v>0</v>
      </c>
      <c r="AQ275" s="104" t="s">
        <v>831</v>
      </c>
      <c r="AV275" s="102">
        <f>AW275+AX275</f>
        <v>0</v>
      </c>
      <c r="AW275" s="102">
        <f>F275*AO275</f>
        <v>0</v>
      </c>
      <c r="AX275" s="102">
        <f>F275*AP275</f>
        <v>0</v>
      </c>
      <c r="AY275" s="104" t="s">
        <v>264</v>
      </c>
      <c r="AZ275" s="104" t="s">
        <v>912</v>
      </c>
      <c r="BA275" s="87" t="s">
        <v>870</v>
      </c>
      <c r="BC275" s="102">
        <f>AW275+AX275</f>
        <v>0</v>
      </c>
      <c r="BD275" s="102">
        <f>G275/(100-BE275)*100</f>
        <v>0</v>
      </c>
      <c r="BE275" s="102">
        <v>0</v>
      </c>
      <c r="BF275" s="102">
        <f>275</f>
        <v>275</v>
      </c>
      <c r="BH275" s="102">
        <f>F275*AO275</f>
        <v>0</v>
      </c>
      <c r="BI275" s="102">
        <f>F275*AP275</f>
        <v>0</v>
      </c>
      <c r="BJ275" s="102">
        <f>F275*G275</f>
        <v>0</v>
      </c>
      <c r="BK275" s="102"/>
      <c r="BL275" s="102">
        <v>767</v>
      </c>
      <c r="BW275" s="102">
        <v>21</v>
      </c>
    </row>
    <row r="276" spans="1:11" ht="15">
      <c r="A276" s="105"/>
      <c r="C276" s="106" t="s">
        <v>829</v>
      </c>
      <c r="D276" s="107" t="s">
        <v>446</v>
      </c>
      <c r="F276" s="108">
        <v>1</v>
      </c>
      <c r="G276" s="215"/>
      <c r="K276" s="109"/>
    </row>
    <row r="277" spans="1:75" ht="25.5">
      <c r="A277" s="23" t="s">
        <v>450</v>
      </c>
      <c r="B277" s="19" t="s">
        <v>898</v>
      </c>
      <c r="C277" s="135" t="s">
        <v>319</v>
      </c>
      <c r="D277" s="135"/>
      <c r="E277" s="19" t="s">
        <v>321</v>
      </c>
      <c r="F277" s="102">
        <f>'Stavební rozpočet'!F277</f>
        <v>2</v>
      </c>
      <c r="G277" s="214">
        <f>'Stavební rozpočet'!G277</f>
        <v>0</v>
      </c>
      <c r="H277" s="102">
        <f>F277*AO277</f>
        <v>0</v>
      </c>
      <c r="I277" s="102">
        <f>F277*AP277</f>
        <v>0</v>
      </c>
      <c r="J277" s="102">
        <f>F277*G277</f>
        <v>0</v>
      </c>
      <c r="K277" s="103" t="s">
        <v>406</v>
      </c>
      <c r="Z277" s="102">
        <f>IF(AQ277="5",BJ277,0)</f>
        <v>0</v>
      </c>
      <c r="AB277" s="102">
        <f>IF(AQ277="1",BH277,0)</f>
        <v>0</v>
      </c>
      <c r="AC277" s="102">
        <f>IF(AQ277="1",BI277,0)</f>
        <v>0</v>
      </c>
      <c r="AD277" s="102">
        <f>IF(AQ277="7",BH277,0)</f>
        <v>0</v>
      </c>
      <c r="AE277" s="102">
        <f>IF(AQ277="7",BI277,0)</f>
        <v>0</v>
      </c>
      <c r="AF277" s="102">
        <f>IF(AQ277="2",BH277,0)</f>
        <v>0</v>
      </c>
      <c r="AG277" s="102">
        <f>IF(AQ277="2",BI277,0)</f>
        <v>0</v>
      </c>
      <c r="AH277" s="102">
        <f>IF(AQ277="0",BJ277,0)</f>
        <v>0</v>
      </c>
      <c r="AI277" s="87" t="s">
        <v>566</v>
      </c>
      <c r="AJ277" s="102">
        <f>IF(AN277=0,J277,0)</f>
        <v>0</v>
      </c>
      <c r="AK277" s="102">
        <f>IF(AN277=12,J277,0)</f>
        <v>0</v>
      </c>
      <c r="AL277" s="102">
        <f>IF(AN277=21,J277,0)</f>
        <v>0</v>
      </c>
      <c r="AN277" s="102">
        <v>21</v>
      </c>
      <c r="AO277" s="102">
        <f>G277*0.18212</f>
        <v>0</v>
      </c>
      <c r="AP277" s="102">
        <f>G277*(1-0.18212)</f>
        <v>0</v>
      </c>
      <c r="AQ277" s="104" t="s">
        <v>831</v>
      </c>
      <c r="AV277" s="102">
        <f>AW277+AX277</f>
        <v>0</v>
      </c>
      <c r="AW277" s="102">
        <f>F277*AO277</f>
        <v>0</v>
      </c>
      <c r="AX277" s="102">
        <f>F277*AP277</f>
        <v>0</v>
      </c>
      <c r="AY277" s="104" t="s">
        <v>264</v>
      </c>
      <c r="AZ277" s="104" t="s">
        <v>912</v>
      </c>
      <c r="BA277" s="87" t="s">
        <v>870</v>
      </c>
      <c r="BC277" s="102">
        <f>AW277+AX277</f>
        <v>0</v>
      </c>
      <c r="BD277" s="102">
        <f>G277/(100-BE277)*100</f>
        <v>0</v>
      </c>
      <c r="BE277" s="102">
        <v>0</v>
      </c>
      <c r="BF277" s="102">
        <f>277</f>
        <v>277</v>
      </c>
      <c r="BH277" s="102">
        <f>F277*AO277</f>
        <v>0</v>
      </c>
      <c r="BI277" s="102">
        <f>F277*AP277</f>
        <v>0</v>
      </c>
      <c r="BJ277" s="102">
        <f>F277*G277</f>
        <v>0</v>
      </c>
      <c r="BK277" s="102"/>
      <c r="BL277" s="102">
        <v>767</v>
      </c>
      <c r="BW277" s="102">
        <v>21</v>
      </c>
    </row>
    <row r="278" spans="1:11" ht="15">
      <c r="A278" s="105"/>
      <c r="C278" s="106" t="s">
        <v>574</v>
      </c>
      <c r="D278" s="107" t="s">
        <v>129</v>
      </c>
      <c r="F278" s="108">
        <v>2</v>
      </c>
      <c r="G278" s="215"/>
      <c r="K278" s="109"/>
    </row>
    <row r="279" spans="1:47" ht="15">
      <c r="A279" s="99" t="s">
        <v>577</v>
      </c>
      <c r="B279" s="22" t="s">
        <v>487</v>
      </c>
      <c r="C279" s="201" t="s">
        <v>672</v>
      </c>
      <c r="D279" s="201"/>
      <c r="E279" s="100" t="s">
        <v>774</v>
      </c>
      <c r="F279" s="100" t="s">
        <v>774</v>
      </c>
      <c r="G279" s="100" t="s">
        <v>774</v>
      </c>
      <c r="H279" s="82">
        <f>SUM(H280:H282)</f>
        <v>0</v>
      </c>
      <c r="I279" s="82">
        <f>SUM(I280:I282)</f>
        <v>0</v>
      </c>
      <c r="J279" s="82">
        <f>SUM(J280:J282)</f>
        <v>0</v>
      </c>
      <c r="K279" s="101" t="s">
        <v>577</v>
      </c>
      <c r="AI279" s="87" t="s">
        <v>566</v>
      </c>
      <c r="AS279" s="82">
        <f>SUM(AJ280:AJ282)</f>
        <v>0</v>
      </c>
      <c r="AT279" s="82">
        <f>SUM(AK280:AK282)</f>
        <v>0</v>
      </c>
      <c r="AU279" s="82">
        <f>SUM(AL280:AL282)</f>
        <v>0</v>
      </c>
    </row>
    <row r="280" spans="1:75" ht="15">
      <c r="A280" s="23" t="s">
        <v>204</v>
      </c>
      <c r="B280" s="19" t="s">
        <v>473</v>
      </c>
      <c r="C280" s="135" t="s">
        <v>733</v>
      </c>
      <c r="D280" s="135"/>
      <c r="E280" s="19" t="s">
        <v>819</v>
      </c>
      <c r="F280" s="102">
        <f>'Stavební rozpočet'!F280</f>
        <v>7.92</v>
      </c>
      <c r="G280" s="214">
        <f>'Stavební rozpočet'!G280</f>
        <v>0</v>
      </c>
      <c r="H280" s="102">
        <f>F280*AO280</f>
        <v>0</v>
      </c>
      <c r="I280" s="102">
        <f>F280*AP280</f>
        <v>0</v>
      </c>
      <c r="J280" s="102">
        <f>F280*G280</f>
        <v>0</v>
      </c>
      <c r="K280" s="103" t="s">
        <v>406</v>
      </c>
      <c r="Z280" s="102">
        <f>IF(AQ280="5",BJ280,0)</f>
        <v>0</v>
      </c>
      <c r="AB280" s="102">
        <f>IF(AQ280="1",BH280,0)</f>
        <v>0</v>
      </c>
      <c r="AC280" s="102">
        <f>IF(AQ280="1",BI280,0)</f>
        <v>0</v>
      </c>
      <c r="AD280" s="102">
        <f>IF(AQ280="7",BH280,0)</f>
        <v>0</v>
      </c>
      <c r="AE280" s="102">
        <f>IF(AQ280="7",BI280,0)</f>
        <v>0</v>
      </c>
      <c r="AF280" s="102">
        <f>IF(AQ280="2",BH280,0)</f>
        <v>0</v>
      </c>
      <c r="AG280" s="102">
        <f>IF(AQ280="2",BI280,0)</f>
        <v>0</v>
      </c>
      <c r="AH280" s="102">
        <f>IF(AQ280="0",BJ280,0)</f>
        <v>0</v>
      </c>
      <c r="AI280" s="87" t="s">
        <v>566</v>
      </c>
      <c r="AJ280" s="102">
        <f>IF(AN280=0,J280,0)</f>
        <v>0</v>
      </c>
      <c r="AK280" s="102">
        <f>IF(AN280=12,J280,0)</f>
        <v>0</v>
      </c>
      <c r="AL280" s="102">
        <f>IF(AN280=21,J280,0)</f>
        <v>0</v>
      </c>
      <c r="AN280" s="102">
        <v>21</v>
      </c>
      <c r="AO280" s="102">
        <f>G280*0.177840909090909</f>
        <v>0</v>
      </c>
      <c r="AP280" s="102">
        <f>G280*(1-0.177840909090909)</f>
        <v>0</v>
      </c>
      <c r="AQ280" s="104" t="s">
        <v>831</v>
      </c>
      <c r="AV280" s="102">
        <f>AW280+AX280</f>
        <v>0</v>
      </c>
      <c r="AW280" s="102">
        <f>F280*AO280</f>
        <v>0</v>
      </c>
      <c r="AX280" s="102">
        <f>F280*AP280</f>
        <v>0</v>
      </c>
      <c r="AY280" s="104" t="s">
        <v>213</v>
      </c>
      <c r="AZ280" s="104" t="s">
        <v>404</v>
      </c>
      <c r="BA280" s="87" t="s">
        <v>870</v>
      </c>
      <c r="BC280" s="102">
        <f>AW280+AX280</f>
        <v>0</v>
      </c>
      <c r="BD280" s="102">
        <f>G280/(100-BE280)*100</f>
        <v>0</v>
      </c>
      <c r="BE280" s="102">
        <v>0</v>
      </c>
      <c r="BF280" s="102">
        <f>280</f>
        <v>280</v>
      </c>
      <c r="BH280" s="102">
        <f>F280*AO280</f>
        <v>0</v>
      </c>
      <c r="BI280" s="102">
        <f>F280*AP280</f>
        <v>0</v>
      </c>
      <c r="BJ280" s="102">
        <f>F280*G280</f>
        <v>0</v>
      </c>
      <c r="BK280" s="102"/>
      <c r="BL280" s="102">
        <v>783</v>
      </c>
      <c r="BW280" s="102">
        <v>21</v>
      </c>
    </row>
    <row r="281" spans="1:11" ht="15">
      <c r="A281" s="105"/>
      <c r="C281" s="106" t="s">
        <v>347</v>
      </c>
      <c r="D281" s="107" t="s">
        <v>31</v>
      </c>
      <c r="F281" s="108">
        <v>7.920000000000001</v>
      </c>
      <c r="G281" s="215"/>
      <c r="K281" s="109"/>
    </row>
    <row r="282" spans="1:75" ht="15">
      <c r="A282" s="23" t="s">
        <v>86</v>
      </c>
      <c r="B282" s="19" t="s">
        <v>203</v>
      </c>
      <c r="C282" s="135" t="s">
        <v>37</v>
      </c>
      <c r="D282" s="135"/>
      <c r="E282" s="19" t="s">
        <v>819</v>
      </c>
      <c r="F282" s="102">
        <f>'Stavební rozpočet'!F282</f>
        <v>7.92</v>
      </c>
      <c r="G282" s="214">
        <f>'Stavební rozpočet'!G282</f>
        <v>0</v>
      </c>
      <c r="H282" s="102">
        <f>F282*AO282</f>
        <v>0</v>
      </c>
      <c r="I282" s="102">
        <f>F282*AP282</f>
        <v>0</v>
      </c>
      <c r="J282" s="102">
        <f>F282*G282</f>
        <v>0</v>
      </c>
      <c r="K282" s="103" t="s">
        <v>406</v>
      </c>
      <c r="Z282" s="102">
        <f>IF(AQ282="5",BJ282,0)</f>
        <v>0</v>
      </c>
      <c r="AB282" s="102">
        <f>IF(AQ282="1",BH282,0)</f>
        <v>0</v>
      </c>
      <c r="AC282" s="102">
        <f>IF(AQ282="1",BI282,0)</f>
        <v>0</v>
      </c>
      <c r="AD282" s="102">
        <f>IF(AQ282="7",BH282,0)</f>
        <v>0</v>
      </c>
      <c r="AE282" s="102">
        <f>IF(AQ282="7",BI282,0)</f>
        <v>0</v>
      </c>
      <c r="AF282" s="102">
        <f>IF(AQ282="2",BH282,0)</f>
        <v>0</v>
      </c>
      <c r="AG282" s="102">
        <f>IF(AQ282="2",BI282,0)</f>
        <v>0</v>
      </c>
      <c r="AH282" s="102">
        <f>IF(AQ282="0",BJ282,0)</f>
        <v>0</v>
      </c>
      <c r="AI282" s="87" t="s">
        <v>566</v>
      </c>
      <c r="AJ282" s="102">
        <f>IF(AN282=0,J282,0)</f>
        <v>0</v>
      </c>
      <c r="AK282" s="102">
        <f>IF(AN282=12,J282,0)</f>
        <v>0</v>
      </c>
      <c r="AL282" s="102">
        <f>IF(AN282=21,J282,0)</f>
        <v>0</v>
      </c>
      <c r="AN282" s="102">
        <v>21</v>
      </c>
      <c r="AO282" s="102">
        <f>G282*0.0794251421351864</f>
        <v>0</v>
      </c>
      <c r="AP282" s="102">
        <f>G282*(1-0.0794251421351864)</f>
        <v>0</v>
      </c>
      <c r="AQ282" s="104" t="s">
        <v>831</v>
      </c>
      <c r="AV282" s="102">
        <f>AW282+AX282</f>
        <v>0</v>
      </c>
      <c r="AW282" s="102">
        <f>F282*AO282</f>
        <v>0</v>
      </c>
      <c r="AX282" s="102">
        <f>F282*AP282</f>
        <v>0</v>
      </c>
      <c r="AY282" s="104" t="s">
        <v>213</v>
      </c>
      <c r="AZ282" s="104" t="s">
        <v>404</v>
      </c>
      <c r="BA282" s="87" t="s">
        <v>870</v>
      </c>
      <c r="BC282" s="102">
        <f>AW282+AX282</f>
        <v>0</v>
      </c>
      <c r="BD282" s="102">
        <f>G282/(100-BE282)*100</f>
        <v>0</v>
      </c>
      <c r="BE282" s="102">
        <v>0</v>
      </c>
      <c r="BF282" s="102">
        <f>282</f>
        <v>282</v>
      </c>
      <c r="BH282" s="102">
        <f>F282*AO282</f>
        <v>0</v>
      </c>
      <c r="BI282" s="102">
        <f>F282*AP282</f>
        <v>0</v>
      </c>
      <c r="BJ282" s="102">
        <f>F282*G282</f>
        <v>0</v>
      </c>
      <c r="BK282" s="102"/>
      <c r="BL282" s="102">
        <v>783</v>
      </c>
      <c r="BW282" s="102">
        <v>21</v>
      </c>
    </row>
    <row r="283" spans="1:11" ht="15">
      <c r="A283" s="105"/>
      <c r="C283" s="106" t="s">
        <v>347</v>
      </c>
      <c r="D283" s="107" t="s">
        <v>31</v>
      </c>
      <c r="F283" s="108">
        <v>7.920000000000001</v>
      </c>
      <c r="G283" s="215"/>
      <c r="K283" s="109"/>
    </row>
    <row r="284" spans="1:47" ht="15">
      <c r="A284" s="99" t="s">
        <v>577</v>
      </c>
      <c r="B284" s="22" t="s">
        <v>477</v>
      </c>
      <c r="C284" s="201" t="s">
        <v>24</v>
      </c>
      <c r="D284" s="201"/>
      <c r="E284" s="100" t="s">
        <v>774</v>
      </c>
      <c r="F284" s="100" t="s">
        <v>774</v>
      </c>
      <c r="G284" s="100" t="s">
        <v>774</v>
      </c>
      <c r="H284" s="82">
        <f>SUM(H285:H290)</f>
        <v>0</v>
      </c>
      <c r="I284" s="82">
        <f>SUM(I285:I290)</f>
        <v>0</v>
      </c>
      <c r="J284" s="82">
        <f>SUM(J285:J290)</f>
        <v>0</v>
      </c>
      <c r="K284" s="101" t="s">
        <v>577</v>
      </c>
      <c r="AI284" s="87" t="s">
        <v>566</v>
      </c>
      <c r="AS284" s="82">
        <f>SUM(AJ285:AJ290)</f>
        <v>0</v>
      </c>
      <c r="AT284" s="82">
        <f>SUM(AK285:AK290)</f>
        <v>0</v>
      </c>
      <c r="AU284" s="82">
        <f>SUM(AL285:AL290)</f>
        <v>0</v>
      </c>
    </row>
    <row r="285" spans="1:75" ht="15">
      <c r="A285" s="23" t="s">
        <v>818</v>
      </c>
      <c r="B285" s="19" t="s">
        <v>43</v>
      </c>
      <c r="C285" s="135" t="s">
        <v>525</v>
      </c>
      <c r="D285" s="135"/>
      <c r="E285" s="19" t="s">
        <v>819</v>
      </c>
      <c r="F285" s="102">
        <f>'Stavební rozpočet'!F285</f>
        <v>37.77</v>
      </c>
      <c r="G285" s="214">
        <f>'Stavební rozpočet'!G285</f>
        <v>0</v>
      </c>
      <c r="H285" s="102">
        <f>F285*AO285</f>
        <v>0</v>
      </c>
      <c r="I285" s="102">
        <f>F285*AP285</f>
        <v>0</v>
      </c>
      <c r="J285" s="102">
        <f>F285*G285</f>
        <v>0</v>
      </c>
      <c r="K285" s="103" t="s">
        <v>406</v>
      </c>
      <c r="Z285" s="102">
        <f>IF(AQ285="5",BJ285,0)</f>
        <v>0</v>
      </c>
      <c r="AB285" s="102">
        <f>IF(AQ285="1",BH285,0)</f>
        <v>0</v>
      </c>
      <c r="AC285" s="102">
        <f>IF(AQ285="1",BI285,0)</f>
        <v>0</v>
      </c>
      <c r="AD285" s="102">
        <f>IF(AQ285="7",BH285,0)</f>
        <v>0</v>
      </c>
      <c r="AE285" s="102">
        <f>IF(AQ285="7",BI285,0)</f>
        <v>0</v>
      </c>
      <c r="AF285" s="102">
        <f>IF(AQ285="2",BH285,0)</f>
        <v>0</v>
      </c>
      <c r="AG285" s="102">
        <f>IF(AQ285="2",BI285,0)</f>
        <v>0</v>
      </c>
      <c r="AH285" s="102">
        <f>IF(AQ285="0",BJ285,0)</f>
        <v>0</v>
      </c>
      <c r="AI285" s="87" t="s">
        <v>566</v>
      </c>
      <c r="AJ285" s="102">
        <f>IF(AN285=0,J285,0)</f>
        <v>0</v>
      </c>
      <c r="AK285" s="102">
        <f>IF(AN285=12,J285,0)</f>
        <v>0</v>
      </c>
      <c r="AL285" s="102">
        <f>IF(AN285=21,J285,0)</f>
        <v>0</v>
      </c>
      <c r="AN285" s="102">
        <v>21</v>
      </c>
      <c r="AO285" s="102">
        <f>G285*0.248586147467279</f>
        <v>0</v>
      </c>
      <c r="AP285" s="102">
        <f>G285*(1-0.248586147467279)</f>
        <v>0</v>
      </c>
      <c r="AQ285" s="104" t="s">
        <v>831</v>
      </c>
      <c r="AV285" s="102">
        <f>AW285+AX285</f>
        <v>0</v>
      </c>
      <c r="AW285" s="102">
        <f>F285*AO285</f>
        <v>0</v>
      </c>
      <c r="AX285" s="102">
        <f>F285*AP285</f>
        <v>0</v>
      </c>
      <c r="AY285" s="104" t="s">
        <v>739</v>
      </c>
      <c r="AZ285" s="104" t="s">
        <v>404</v>
      </c>
      <c r="BA285" s="87" t="s">
        <v>870</v>
      </c>
      <c r="BC285" s="102">
        <f>AW285+AX285</f>
        <v>0</v>
      </c>
      <c r="BD285" s="102">
        <f>G285/(100-BE285)*100</f>
        <v>0</v>
      </c>
      <c r="BE285" s="102">
        <v>0</v>
      </c>
      <c r="BF285" s="102">
        <f>285</f>
        <v>285</v>
      </c>
      <c r="BH285" s="102">
        <f>F285*AO285</f>
        <v>0</v>
      </c>
      <c r="BI285" s="102">
        <f>F285*AP285</f>
        <v>0</v>
      </c>
      <c r="BJ285" s="102">
        <f>F285*G285</f>
        <v>0</v>
      </c>
      <c r="BK285" s="102"/>
      <c r="BL285" s="102">
        <v>784</v>
      </c>
      <c r="BW285" s="102">
        <v>21</v>
      </c>
    </row>
    <row r="286" spans="1:11" ht="15">
      <c r="A286" s="105"/>
      <c r="C286" s="202" t="s">
        <v>255</v>
      </c>
      <c r="D286" s="202"/>
      <c r="E286" s="202"/>
      <c r="F286" s="202"/>
      <c r="G286" s="202"/>
      <c r="H286" s="202"/>
      <c r="I286" s="202"/>
      <c r="J286" s="202"/>
      <c r="K286" s="203"/>
    </row>
    <row r="287" spans="1:11" ht="25.5">
      <c r="A287" s="105"/>
      <c r="C287" s="106" t="s">
        <v>863</v>
      </c>
      <c r="D287" s="107" t="s">
        <v>771</v>
      </c>
      <c r="F287" s="108">
        <v>37.77</v>
      </c>
      <c r="G287" s="215"/>
      <c r="K287" s="109"/>
    </row>
    <row r="288" spans="1:75" ht="15">
      <c r="A288" s="23" t="s">
        <v>158</v>
      </c>
      <c r="B288" s="19" t="s">
        <v>311</v>
      </c>
      <c r="C288" s="135" t="s">
        <v>797</v>
      </c>
      <c r="D288" s="135"/>
      <c r="E288" s="19" t="s">
        <v>819</v>
      </c>
      <c r="F288" s="102">
        <f>'Stavební rozpočet'!F288</f>
        <v>37.77</v>
      </c>
      <c r="G288" s="214">
        <f>'Stavební rozpočet'!G288</f>
        <v>0</v>
      </c>
      <c r="H288" s="102">
        <f>F288*AO288</f>
        <v>0</v>
      </c>
      <c r="I288" s="102">
        <f>F288*AP288</f>
        <v>0</v>
      </c>
      <c r="J288" s="102">
        <f>F288*G288</f>
        <v>0</v>
      </c>
      <c r="K288" s="103" t="s">
        <v>406</v>
      </c>
      <c r="Z288" s="102">
        <f>IF(AQ288="5",BJ288,0)</f>
        <v>0</v>
      </c>
      <c r="AB288" s="102">
        <f>IF(AQ288="1",BH288,0)</f>
        <v>0</v>
      </c>
      <c r="AC288" s="102">
        <f>IF(AQ288="1",BI288,0)</f>
        <v>0</v>
      </c>
      <c r="AD288" s="102">
        <f>IF(AQ288="7",BH288,0)</f>
        <v>0</v>
      </c>
      <c r="AE288" s="102">
        <f>IF(AQ288="7",BI288,0)</f>
        <v>0</v>
      </c>
      <c r="AF288" s="102">
        <f>IF(AQ288="2",BH288,0)</f>
        <v>0</v>
      </c>
      <c r="AG288" s="102">
        <f>IF(AQ288="2",BI288,0)</f>
        <v>0</v>
      </c>
      <c r="AH288" s="102">
        <f>IF(AQ288="0",BJ288,0)</f>
        <v>0</v>
      </c>
      <c r="AI288" s="87" t="s">
        <v>566</v>
      </c>
      <c r="AJ288" s="102">
        <f>IF(AN288=0,J288,0)</f>
        <v>0</v>
      </c>
      <c r="AK288" s="102">
        <f>IF(AN288=12,J288,0)</f>
        <v>0</v>
      </c>
      <c r="AL288" s="102">
        <f>IF(AN288=21,J288,0)</f>
        <v>0</v>
      </c>
      <c r="AN288" s="102">
        <v>21</v>
      </c>
      <c r="AO288" s="102">
        <f>G288*0</f>
        <v>0</v>
      </c>
      <c r="AP288" s="102">
        <f>G288*(1-0)</f>
        <v>0</v>
      </c>
      <c r="AQ288" s="104" t="s">
        <v>831</v>
      </c>
      <c r="AV288" s="102">
        <f>AW288+AX288</f>
        <v>0</v>
      </c>
      <c r="AW288" s="102">
        <f>F288*AO288</f>
        <v>0</v>
      </c>
      <c r="AX288" s="102">
        <f>F288*AP288</f>
        <v>0</v>
      </c>
      <c r="AY288" s="104" t="s">
        <v>739</v>
      </c>
      <c r="AZ288" s="104" t="s">
        <v>404</v>
      </c>
      <c r="BA288" s="87" t="s">
        <v>870</v>
      </c>
      <c r="BC288" s="102">
        <f>AW288+AX288</f>
        <v>0</v>
      </c>
      <c r="BD288" s="102">
        <f>G288/(100-BE288)*100</f>
        <v>0</v>
      </c>
      <c r="BE288" s="102">
        <v>0</v>
      </c>
      <c r="BF288" s="102">
        <f>288</f>
        <v>288</v>
      </c>
      <c r="BH288" s="102">
        <f>F288*AO288</f>
        <v>0</v>
      </c>
      <c r="BI288" s="102">
        <f>F288*AP288</f>
        <v>0</v>
      </c>
      <c r="BJ288" s="102">
        <f>F288*G288</f>
        <v>0</v>
      </c>
      <c r="BK288" s="102"/>
      <c r="BL288" s="102">
        <v>784</v>
      </c>
      <c r="BW288" s="102">
        <v>21</v>
      </c>
    </row>
    <row r="289" spans="1:11" ht="25.5">
      <c r="A289" s="105"/>
      <c r="C289" s="106" t="s">
        <v>863</v>
      </c>
      <c r="D289" s="107" t="s">
        <v>444</v>
      </c>
      <c r="F289" s="108">
        <v>37.77</v>
      </c>
      <c r="G289" s="215"/>
      <c r="K289" s="109"/>
    </row>
    <row r="290" spans="1:75" ht="15">
      <c r="A290" s="110" t="s">
        <v>170</v>
      </c>
      <c r="B290" s="62" t="s">
        <v>750</v>
      </c>
      <c r="C290" s="204" t="s">
        <v>9</v>
      </c>
      <c r="D290" s="204"/>
      <c r="E290" s="62" t="s">
        <v>807</v>
      </c>
      <c r="F290" s="111">
        <f>'Stavební rozpočet'!F290</f>
        <v>1.33</v>
      </c>
      <c r="G290" s="216">
        <f>'Stavební rozpočet'!G290</f>
        <v>0</v>
      </c>
      <c r="H290" s="111">
        <f>F290*AO290</f>
        <v>0</v>
      </c>
      <c r="I290" s="111">
        <f>F290*AP290</f>
        <v>0</v>
      </c>
      <c r="J290" s="111">
        <f>F290*G290</f>
        <v>0</v>
      </c>
      <c r="K290" s="112" t="s">
        <v>406</v>
      </c>
      <c r="Z290" s="102">
        <f>IF(AQ290="5",BJ290,0)</f>
        <v>0</v>
      </c>
      <c r="AB290" s="102">
        <f>IF(AQ290="1",BH290,0)</f>
        <v>0</v>
      </c>
      <c r="AC290" s="102">
        <f>IF(AQ290="1",BI290,0)</f>
        <v>0</v>
      </c>
      <c r="AD290" s="102">
        <f>IF(AQ290="7",BH290,0)</f>
        <v>0</v>
      </c>
      <c r="AE290" s="102">
        <f>IF(AQ290="7",BI290,0)</f>
        <v>0</v>
      </c>
      <c r="AF290" s="102">
        <f>IF(AQ290="2",BH290,0)</f>
        <v>0</v>
      </c>
      <c r="AG290" s="102">
        <f>IF(AQ290="2",BI290,0)</f>
        <v>0</v>
      </c>
      <c r="AH290" s="102">
        <f>IF(AQ290="0",BJ290,0)</f>
        <v>0</v>
      </c>
      <c r="AI290" s="87" t="s">
        <v>566</v>
      </c>
      <c r="AJ290" s="111">
        <f>IF(AN290=0,J290,0)</f>
        <v>0</v>
      </c>
      <c r="AK290" s="111">
        <f>IF(AN290=12,J290,0)</f>
        <v>0</v>
      </c>
      <c r="AL290" s="111">
        <f>IF(AN290=21,J290,0)</f>
        <v>0</v>
      </c>
      <c r="AN290" s="102">
        <v>21</v>
      </c>
      <c r="AO290" s="102">
        <f>G290*1</f>
        <v>0</v>
      </c>
      <c r="AP290" s="102">
        <f>G290*(1-1)</f>
        <v>0</v>
      </c>
      <c r="AQ290" s="113" t="s">
        <v>831</v>
      </c>
      <c r="AV290" s="102">
        <f>AW290+AX290</f>
        <v>0</v>
      </c>
      <c r="AW290" s="102">
        <f>F290*AO290</f>
        <v>0</v>
      </c>
      <c r="AX290" s="102">
        <f>F290*AP290</f>
        <v>0</v>
      </c>
      <c r="AY290" s="104" t="s">
        <v>739</v>
      </c>
      <c r="AZ290" s="104" t="s">
        <v>404</v>
      </c>
      <c r="BA290" s="87" t="s">
        <v>870</v>
      </c>
      <c r="BC290" s="102">
        <f>AW290+AX290</f>
        <v>0</v>
      </c>
      <c r="BD290" s="102">
        <f>G290/(100-BE290)*100</f>
        <v>0</v>
      </c>
      <c r="BE290" s="102">
        <v>0</v>
      </c>
      <c r="BF290" s="102">
        <f>290</f>
        <v>290</v>
      </c>
      <c r="BH290" s="111">
        <f>F290*AO290</f>
        <v>0</v>
      </c>
      <c r="BI290" s="111">
        <f>F290*AP290</f>
        <v>0</v>
      </c>
      <c r="BJ290" s="111">
        <f>F290*G290</f>
        <v>0</v>
      </c>
      <c r="BK290" s="111"/>
      <c r="BL290" s="102">
        <v>784</v>
      </c>
      <c r="BW290" s="102">
        <v>21</v>
      </c>
    </row>
    <row r="291" spans="1:11" ht="25.5">
      <c r="A291" s="105"/>
      <c r="C291" s="106" t="s">
        <v>664</v>
      </c>
      <c r="D291" s="107" t="s">
        <v>771</v>
      </c>
      <c r="F291" s="108">
        <v>1.2100000000000002</v>
      </c>
      <c r="G291" s="215"/>
      <c r="K291" s="109"/>
    </row>
    <row r="292" spans="1:11" ht="15">
      <c r="A292" s="105"/>
      <c r="C292" s="106" t="s">
        <v>327</v>
      </c>
      <c r="D292" s="107" t="s">
        <v>577</v>
      </c>
      <c r="F292" s="108">
        <v>0.12000000000000001</v>
      </c>
      <c r="G292" s="215"/>
      <c r="K292" s="109"/>
    </row>
    <row r="293" spans="1:47" ht="15">
      <c r="A293" s="99" t="s">
        <v>577</v>
      </c>
      <c r="B293" s="22" t="s">
        <v>111</v>
      </c>
      <c r="C293" s="201" t="s">
        <v>585</v>
      </c>
      <c r="D293" s="201"/>
      <c r="E293" s="100" t="s">
        <v>774</v>
      </c>
      <c r="F293" s="100" t="s">
        <v>774</v>
      </c>
      <c r="G293" s="100" t="s">
        <v>774</v>
      </c>
      <c r="H293" s="82">
        <f>SUM(H294:H318)</f>
        <v>0</v>
      </c>
      <c r="I293" s="82">
        <f>SUM(I294:I318)</f>
        <v>0</v>
      </c>
      <c r="J293" s="82">
        <f>SUM(J294:J318)</f>
        <v>0</v>
      </c>
      <c r="K293" s="101" t="s">
        <v>577</v>
      </c>
      <c r="AI293" s="87" t="s">
        <v>566</v>
      </c>
      <c r="AS293" s="82">
        <f>SUM(AJ294:AJ318)</f>
        <v>0</v>
      </c>
      <c r="AT293" s="82">
        <f>SUM(AK294:AK318)</f>
        <v>0</v>
      </c>
      <c r="AU293" s="82">
        <f>SUM(AL294:AL318)</f>
        <v>0</v>
      </c>
    </row>
    <row r="294" spans="1:75" ht="15">
      <c r="A294" s="23" t="s">
        <v>851</v>
      </c>
      <c r="B294" s="19" t="s">
        <v>330</v>
      </c>
      <c r="C294" s="135" t="s">
        <v>379</v>
      </c>
      <c r="D294" s="135"/>
      <c r="E294" s="19" t="s">
        <v>819</v>
      </c>
      <c r="F294" s="102">
        <f>'Stavební rozpočet'!F294</f>
        <v>1316.5</v>
      </c>
      <c r="G294" s="214">
        <f>'Stavební rozpočet'!G294</f>
        <v>0</v>
      </c>
      <c r="H294" s="102">
        <f>F294*AO294</f>
        <v>0</v>
      </c>
      <c r="I294" s="102">
        <f>F294*AP294</f>
        <v>0</v>
      </c>
      <c r="J294" s="102">
        <f>F294*G294</f>
        <v>0</v>
      </c>
      <c r="K294" s="103" t="s">
        <v>406</v>
      </c>
      <c r="Z294" s="102">
        <f>IF(AQ294="5",BJ294,0)</f>
        <v>0</v>
      </c>
      <c r="AB294" s="102">
        <f>IF(AQ294="1",BH294,0)</f>
        <v>0</v>
      </c>
      <c r="AC294" s="102">
        <f>IF(AQ294="1",BI294,0)</f>
        <v>0</v>
      </c>
      <c r="AD294" s="102">
        <f>IF(AQ294="7",BH294,0)</f>
        <v>0</v>
      </c>
      <c r="AE294" s="102">
        <f>IF(AQ294="7",BI294,0)</f>
        <v>0</v>
      </c>
      <c r="AF294" s="102">
        <f>IF(AQ294="2",BH294,0)</f>
        <v>0</v>
      </c>
      <c r="AG294" s="102">
        <f>IF(AQ294="2",BI294,0)</f>
        <v>0</v>
      </c>
      <c r="AH294" s="102">
        <f>IF(AQ294="0",BJ294,0)</f>
        <v>0</v>
      </c>
      <c r="AI294" s="87" t="s">
        <v>566</v>
      </c>
      <c r="AJ294" s="102">
        <f>IF(AN294=0,J294,0)</f>
        <v>0</v>
      </c>
      <c r="AK294" s="102">
        <f>IF(AN294=12,J294,0)</f>
        <v>0</v>
      </c>
      <c r="AL294" s="102">
        <f>IF(AN294=21,J294,0)</f>
        <v>0</v>
      </c>
      <c r="AN294" s="102">
        <v>21</v>
      </c>
      <c r="AO294" s="102">
        <f>G294*0</f>
        <v>0</v>
      </c>
      <c r="AP294" s="102">
        <f>G294*(1-0)</f>
        <v>0</v>
      </c>
      <c r="AQ294" s="104" t="s">
        <v>829</v>
      </c>
      <c r="AV294" s="102">
        <f>AW294+AX294</f>
        <v>0</v>
      </c>
      <c r="AW294" s="102">
        <f>F294*AO294</f>
        <v>0</v>
      </c>
      <c r="AX294" s="102">
        <f>F294*AP294</f>
        <v>0</v>
      </c>
      <c r="AY294" s="104" t="s">
        <v>911</v>
      </c>
      <c r="AZ294" s="104" t="s">
        <v>114</v>
      </c>
      <c r="BA294" s="87" t="s">
        <v>870</v>
      </c>
      <c r="BC294" s="102">
        <f>AW294+AX294</f>
        <v>0</v>
      </c>
      <c r="BD294" s="102">
        <f>G294/(100-BE294)*100</f>
        <v>0</v>
      </c>
      <c r="BE294" s="102">
        <v>0</v>
      </c>
      <c r="BF294" s="102">
        <f>294</f>
        <v>294</v>
      </c>
      <c r="BH294" s="102">
        <f>F294*AO294</f>
        <v>0</v>
      </c>
      <c r="BI294" s="102">
        <f>F294*AP294</f>
        <v>0</v>
      </c>
      <c r="BJ294" s="102">
        <f>F294*G294</f>
        <v>0</v>
      </c>
      <c r="BK294" s="102"/>
      <c r="BL294" s="102">
        <v>94</v>
      </c>
      <c r="BW294" s="102">
        <v>21</v>
      </c>
    </row>
    <row r="295" spans="1:11" ht="15">
      <c r="A295" s="105"/>
      <c r="C295" s="106" t="s">
        <v>653</v>
      </c>
      <c r="D295" s="107" t="s">
        <v>749</v>
      </c>
      <c r="F295" s="108">
        <v>1316.5</v>
      </c>
      <c r="G295" s="215"/>
      <c r="K295" s="109"/>
    </row>
    <row r="296" spans="1:75" ht="15">
      <c r="A296" s="23" t="s">
        <v>505</v>
      </c>
      <c r="B296" s="19" t="s">
        <v>459</v>
      </c>
      <c r="C296" s="135" t="s">
        <v>100</v>
      </c>
      <c r="D296" s="135"/>
      <c r="E296" s="19" t="s">
        <v>819</v>
      </c>
      <c r="F296" s="102">
        <f>'Stavební rozpočet'!F296</f>
        <v>3949.5</v>
      </c>
      <c r="G296" s="214">
        <f>'Stavební rozpočet'!G296</f>
        <v>0</v>
      </c>
      <c r="H296" s="102">
        <f>F296*AO296</f>
        <v>0</v>
      </c>
      <c r="I296" s="102">
        <f>F296*AP296</f>
        <v>0</v>
      </c>
      <c r="J296" s="102">
        <f>F296*G296</f>
        <v>0</v>
      </c>
      <c r="K296" s="103" t="s">
        <v>406</v>
      </c>
      <c r="Z296" s="102">
        <f>IF(AQ296="5",BJ296,0)</f>
        <v>0</v>
      </c>
      <c r="AB296" s="102">
        <f>IF(AQ296="1",BH296,0)</f>
        <v>0</v>
      </c>
      <c r="AC296" s="102">
        <f>IF(AQ296="1",BI296,0)</f>
        <v>0</v>
      </c>
      <c r="AD296" s="102">
        <f>IF(AQ296="7",BH296,0)</f>
        <v>0</v>
      </c>
      <c r="AE296" s="102">
        <f>IF(AQ296="7",BI296,0)</f>
        <v>0</v>
      </c>
      <c r="AF296" s="102">
        <f>IF(AQ296="2",BH296,0)</f>
        <v>0</v>
      </c>
      <c r="AG296" s="102">
        <f>IF(AQ296="2",BI296,0)</f>
        <v>0</v>
      </c>
      <c r="AH296" s="102">
        <f>IF(AQ296="0",BJ296,0)</f>
        <v>0</v>
      </c>
      <c r="AI296" s="87" t="s">
        <v>566</v>
      </c>
      <c r="AJ296" s="102">
        <f>IF(AN296=0,J296,0)</f>
        <v>0</v>
      </c>
      <c r="AK296" s="102">
        <f>IF(AN296=12,J296,0)</f>
        <v>0</v>
      </c>
      <c r="AL296" s="102">
        <f>IF(AN296=21,J296,0)</f>
        <v>0</v>
      </c>
      <c r="AN296" s="102">
        <v>21</v>
      </c>
      <c r="AO296" s="102">
        <f>G296*1</f>
        <v>0</v>
      </c>
      <c r="AP296" s="102">
        <f>G296*(1-1)</f>
        <v>0</v>
      </c>
      <c r="AQ296" s="104" t="s">
        <v>829</v>
      </c>
      <c r="AV296" s="102">
        <f>AW296+AX296</f>
        <v>0</v>
      </c>
      <c r="AW296" s="102">
        <f>F296*AO296</f>
        <v>0</v>
      </c>
      <c r="AX296" s="102">
        <f>F296*AP296</f>
        <v>0</v>
      </c>
      <c r="AY296" s="104" t="s">
        <v>911</v>
      </c>
      <c r="AZ296" s="104" t="s">
        <v>114</v>
      </c>
      <c r="BA296" s="87" t="s">
        <v>870</v>
      </c>
      <c r="BC296" s="102">
        <f>AW296+AX296</f>
        <v>0</v>
      </c>
      <c r="BD296" s="102">
        <f>G296/(100-BE296)*100</f>
        <v>0</v>
      </c>
      <c r="BE296" s="102">
        <v>0</v>
      </c>
      <c r="BF296" s="102">
        <f>296</f>
        <v>296</v>
      </c>
      <c r="BH296" s="102">
        <f>F296*AO296</f>
        <v>0</v>
      </c>
      <c r="BI296" s="102">
        <f>F296*AP296</f>
        <v>0</v>
      </c>
      <c r="BJ296" s="102">
        <f>F296*G296</f>
        <v>0</v>
      </c>
      <c r="BK296" s="102"/>
      <c r="BL296" s="102">
        <v>94</v>
      </c>
      <c r="BW296" s="102">
        <v>21</v>
      </c>
    </row>
    <row r="297" spans="1:11" ht="15">
      <c r="A297" s="105"/>
      <c r="C297" s="106" t="s">
        <v>866</v>
      </c>
      <c r="D297" s="107" t="s">
        <v>577</v>
      </c>
      <c r="F297" s="108">
        <v>3949.5000000000005</v>
      </c>
      <c r="G297" s="215"/>
      <c r="K297" s="109"/>
    </row>
    <row r="298" spans="1:75" ht="15">
      <c r="A298" s="23" t="s">
        <v>436</v>
      </c>
      <c r="B298" s="19" t="s">
        <v>115</v>
      </c>
      <c r="C298" s="135" t="s">
        <v>875</v>
      </c>
      <c r="D298" s="135"/>
      <c r="E298" s="19" t="s">
        <v>819</v>
      </c>
      <c r="F298" s="102">
        <f>'Stavební rozpočet'!F298</f>
        <v>1316.5</v>
      </c>
      <c r="G298" s="214">
        <f>'Stavební rozpočet'!G298</f>
        <v>0</v>
      </c>
      <c r="H298" s="102">
        <f>F298*AO298</f>
        <v>0</v>
      </c>
      <c r="I298" s="102">
        <f>F298*AP298</f>
        <v>0</v>
      </c>
      <c r="J298" s="102">
        <f>F298*G298</f>
        <v>0</v>
      </c>
      <c r="K298" s="103" t="s">
        <v>406</v>
      </c>
      <c r="Z298" s="102">
        <f>IF(AQ298="5",BJ298,0)</f>
        <v>0</v>
      </c>
      <c r="AB298" s="102">
        <f>IF(AQ298="1",BH298,0)</f>
        <v>0</v>
      </c>
      <c r="AC298" s="102">
        <f>IF(AQ298="1",BI298,0)</f>
        <v>0</v>
      </c>
      <c r="AD298" s="102">
        <f>IF(AQ298="7",BH298,0)</f>
        <v>0</v>
      </c>
      <c r="AE298" s="102">
        <f>IF(AQ298="7",BI298,0)</f>
        <v>0</v>
      </c>
      <c r="AF298" s="102">
        <f>IF(AQ298="2",BH298,0)</f>
        <v>0</v>
      </c>
      <c r="AG298" s="102">
        <f>IF(AQ298="2",BI298,0)</f>
        <v>0</v>
      </c>
      <c r="AH298" s="102">
        <f>IF(AQ298="0",BJ298,0)</f>
        <v>0</v>
      </c>
      <c r="AI298" s="87" t="s">
        <v>566</v>
      </c>
      <c r="AJ298" s="102">
        <f>IF(AN298=0,J298,0)</f>
        <v>0</v>
      </c>
      <c r="AK298" s="102">
        <f>IF(AN298=12,J298,0)</f>
        <v>0</v>
      </c>
      <c r="AL298" s="102">
        <f>IF(AN298=21,J298,0)</f>
        <v>0</v>
      </c>
      <c r="AN298" s="102">
        <v>21</v>
      </c>
      <c r="AO298" s="102">
        <f>G298*0</f>
        <v>0</v>
      </c>
      <c r="AP298" s="102">
        <f>G298*(1-0)</f>
        <v>0</v>
      </c>
      <c r="AQ298" s="104" t="s">
        <v>829</v>
      </c>
      <c r="AV298" s="102">
        <f>AW298+AX298</f>
        <v>0</v>
      </c>
      <c r="AW298" s="102">
        <f>F298*AO298</f>
        <v>0</v>
      </c>
      <c r="AX298" s="102">
        <f>F298*AP298</f>
        <v>0</v>
      </c>
      <c r="AY298" s="104" t="s">
        <v>911</v>
      </c>
      <c r="AZ298" s="104" t="s">
        <v>114</v>
      </c>
      <c r="BA298" s="87" t="s">
        <v>870</v>
      </c>
      <c r="BC298" s="102">
        <f>AW298+AX298</f>
        <v>0</v>
      </c>
      <c r="BD298" s="102">
        <f>G298/(100-BE298)*100</f>
        <v>0</v>
      </c>
      <c r="BE298" s="102">
        <v>0</v>
      </c>
      <c r="BF298" s="102">
        <f>298</f>
        <v>298</v>
      </c>
      <c r="BH298" s="102">
        <f>F298*AO298</f>
        <v>0</v>
      </c>
      <c r="BI298" s="102">
        <f>F298*AP298</f>
        <v>0</v>
      </c>
      <c r="BJ298" s="102">
        <f>F298*G298</f>
        <v>0</v>
      </c>
      <c r="BK298" s="102"/>
      <c r="BL298" s="102">
        <v>94</v>
      </c>
      <c r="BW298" s="102">
        <v>21</v>
      </c>
    </row>
    <row r="299" spans="1:11" ht="15">
      <c r="A299" s="105"/>
      <c r="C299" s="106" t="s">
        <v>250</v>
      </c>
      <c r="D299" s="107" t="s">
        <v>577</v>
      </c>
      <c r="F299" s="108">
        <v>1316.5</v>
      </c>
      <c r="G299" s="215"/>
      <c r="K299" s="109"/>
    </row>
    <row r="300" spans="1:75" ht="15">
      <c r="A300" s="23" t="s">
        <v>547</v>
      </c>
      <c r="B300" s="19" t="s">
        <v>864</v>
      </c>
      <c r="C300" s="135" t="s">
        <v>391</v>
      </c>
      <c r="D300" s="135"/>
      <c r="E300" s="19" t="s">
        <v>695</v>
      </c>
      <c r="F300" s="102">
        <f>'Stavební rozpočet'!F300</f>
        <v>3</v>
      </c>
      <c r="G300" s="214">
        <f>'Stavební rozpočet'!G300</f>
        <v>0</v>
      </c>
      <c r="H300" s="102">
        <f>F300*AO300</f>
        <v>0</v>
      </c>
      <c r="I300" s="102">
        <f>F300*AP300</f>
        <v>0</v>
      </c>
      <c r="J300" s="102">
        <f>F300*G300</f>
        <v>0</v>
      </c>
      <c r="K300" s="103" t="s">
        <v>406</v>
      </c>
      <c r="Z300" s="102">
        <f>IF(AQ300="5",BJ300,0)</f>
        <v>0</v>
      </c>
      <c r="AB300" s="102">
        <f>IF(AQ300="1",BH300,0)</f>
        <v>0</v>
      </c>
      <c r="AC300" s="102">
        <f>IF(AQ300="1",BI300,0)</f>
        <v>0</v>
      </c>
      <c r="AD300" s="102">
        <f>IF(AQ300="7",BH300,0)</f>
        <v>0</v>
      </c>
      <c r="AE300" s="102">
        <f>IF(AQ300="7",BI300,0)</f>
        <v>0</v>
      </c>
      <c r="AF300" s="102">
        <f>IF(AQ300="2",BH300,0)</f>
        <v>0</v>
      </c>
      <c r="AG300" s="102">
        <f>IF(AQ300="2",BI300,0)</f>
        <v>0</v>
      </c>
      <c r="AH300" s="102">
        <f>IF(AQ300="0",BJ300,0)</f>
        <v>0</v>
      </c>
      <c r="AI300" s="87" t="s">
        <v>566</v>
      </c>
      <c r="AJ300" s="102">
        <f>IF(AN300=0,J300,0)</f>
        <v>0</v>
      </c>
      <c r="AK300" s="102">
        <f>IF(AN300=12,J300,0)</f>
        <v>0</v>
      </c>
      <c r="AL300" s="102">
        <f>IF(AN300=21,J300,0)</f>
        <v>0</v>
      </c>
      <c r="AN300" s="102">
        <v>21</v>
      </c>
      <c r="AO300" s="102">
        <f>G300*0.405262510758638</f>
        <v>0</v>
      </c>
      <c r="AP300" s="102">
        <f>G300*(1-0.405262510758638)</f>
        <v>0</v>
      </c>
      <c r="AQ300" s="104" t="s">
        <v>829</v>
      </c>
      <c r="AV300" s="102">
        <f>AW300+AX300</f>
        <v>0</v>
      </c>
      <c r="AW300" s="102">
        <f>F300*AO300</f>
        <v>0</v>
      </c>
      <c r="AX300" s="102">
        <f>F300*AP300</f>
        <v>0</v>
      </c>
      <c r="AY300" s="104" t="s">
        <v>911</v>
      </c>
      <c r="AZ300" s="104" t="s">
        <v>114</v>
      </c>
      <c r="BA300" s="87" t="s">
        <v>870</v>
      </c>
      <c r="BC300" s="102">
        <f>AW300+AX300</f>
        <v>0</v>
      </c>
      <c r="BD300" s="102">
        <f>G300/(100-BE300)*100</f>
        <v>0</v>
      </c>
      <c r="BE300" s="102">
        <v>0</v>
      </c>
      <c r="BF300" s="102">
        <f>300</f>
        <v>300</v>
      </c>
      <c r="BH300" s="102">
        <f>F300*AO300</f>
        <v>0</v>
      </c>
      <c r="BI300" s="102">
        <f>F300*AP300</f>
        <v>0</v>
      </c>
      <c r="BJ300" s="102">
        <f>F300*G300</f>
        <v>0</v>
      </c>
      <c r="BK300" s="102"/>
      <c r="BL300" s="102">
        <v>94</v>
      </c>
      <c r="BW300" s="102">
        <v>21</v>
      </c>
    </row>
    <row r="301" spans="1:11" ht="15">
      <c r="A301" s="105"/>
      <c r="C301" s="106" t="s">
        <v>724</v>
      </c>
      <c r="D301" s="107" t="s">
        <v>577</v>
      </c>
      <c r="F301" s="108">
        <v>3.0000000000000004</v>
      </c>
      <c r="G301" s="215"/>
      <c r="K301" s="109"/>
    </row>
    <row r="302" spans="1:75" ht="15">
      <c r="A302" s="23" t="s">
        <v>48</v>
      </c>
      <c r="B302" s="19" t="s">
        <v>427</v>
      </c>
      <c r="C302" s="135" t="s">
        <v>462</v>
      </c>
      <c r="D302" s="135"/>
      <c r="E302" s="19" t="s">
        <v>695</v>
      </c>
      <c r="F302" s="102">
        <f>'Stavební rozpočet'!F302</f>
        <v>9</v>
      </c>
      <c r="G302" s="214">
        <f>'Stavební rozpočet'!G302</f>
        <v>0</v>
      </c>
      <c r="H302" s="102">
        <f>F302*AO302</f>
        <v>0</v>
      </c>
      <c r="I302" s="102">
        <f>F302*AP302</f>
        <v>0</v>
      </c>
      <c r="J302" s="102">
        <f>F302*G302</f>
        <v>0</v>
      </c>
      <c r="K302" s="103" t="s">
        <v>406</v>
      </c>
      <c r="Z302" s="102">
        <f>IF(AQ302="5",BJ302,0)</f>
        <v>0</v>
      </c>
      <c r="AB302" s="102">
        <f>IF(AQ302="1",BH302,0)</f>
        <v>0</v>
      </c>
      <c r="AC302" s="102">
        <f>IF(AQ302="1",BI302,0)</f>
        <v>0</v>
      </c>
      <c r="AD302" s="102">
        <f>IF(AQ302="7",BH302,0)</f>
        <v>0</v>
      </c>
      <c r="AE302" s="102">
        <f>IF(AQ302="7",BI302,0)</f>
        <v>0</v>
      </c>
      <c r="AF302" s="102">
        <f>IF(AQ302="2",BH302,0)</f>
        <v>0</v>
      </c>
      <c r="AG302" s="102">
        <f>IF(AQ302="2",BI302,0)</f>
        <v>0</v>
      </c>
      <c r="AH302" s="102">
        <f>IF(AQ302="0",BJ302,0)</f>
        <v>0</v>
      </c>
      <c r="AI302" s="87" t="s">
        <v>566</v>
      </c>
      <c r="AJ302" s="102">
        <f>IF(AN302=0,J302,0)</f>
        <v>0</v>
      </c>
      <c r="AK302" s="102">
        <f>IF(AN302=12,J302,0)</f>
        <v>0</v>
      </c>
      <c r="AL302" s="102">
        <f>IF(AN302=21,J302,0)</f>
        <v>0</v>
      </c>
      <c r="AN302" s="102">
        <v>21</v>
      </c>
      <c r="AO302" s="102">
        <f>G302*0.918347107438017</f>
        <v>0</v>
      </c>
      <c r="AP302" s="102">
        <f>G302*(1-0.918347107438017)</f>
        <v>0</v>
      </c>
      <c r="AQ302" s="104" t="s">
        <v>829</v>
      </c>
      <c r="AV302" s="102">
        <f>AW302+AX302</f>
        <v>0</v>
      </c>
      <c r="AW302" s="102">
        <f>F302*AO302</f>
        <v>0</v>
      </c>
      <c r="AX302" s="102">
        <f>F302*AP302</f>
        <v>0</v>
      </c>
      <c r="AY302" s="104" t="s">
        <v>911</v>
      </c>
      <c r="AZ302" s="104" t="s">
        <v>114</v>
      </c>
      <c r="BA302" s="87" t="s">
        <v>870</v>
      </c>
      <c r="BC302" s="102">
        <f>AW302+AX302</f>
        <v>0</v>
      </c>
      <c r="BD302" s="102">
        <f>G302/(100-BE302)*100</f>
        <v>0</v>
      </c>
      <c r="BE302" s="102">
        <v>0</v>
      </c>
      <c r="BF302" s="102">
        <f>302</f>
        <v>302</v>
      </c>
      <c r="BH302" s="102">
        <f>F302*AO302</f>
        <v>0</v>
      </c>
      <c r="BI302" s="102">
        <f>F302*AP302</f>
        <v>0</v>
      </c>
      <c r="BJ302" s="102">
        <f>F302*G302</f>
        <v>0</v>
      </c>
      <c r="BK302" s="102"/>
      <c r="BL302" s="102">
        <v>94</v>
      </c>
      <c r="BW302" s="102">
        <v>21</v>
      </c>
    </row>
    <row r="303" spans="1:11" ht="15">
      <c r="A303" s="105"/>
      <c r="C303" s="106" t="s">
        <v>442</v>
      </c>
      <c r="D303" s="107" t="s">
        <v>577</v>
      </c>
      <c r="F303" s="108">
        <v>9</v>
      </c>
      <c r="G303" s="215"/>
      <c r="K303" s="109"/>
    </row>
    <row r="304" spans="1:75" ht="15">
      <c r="A304" s="23" t="s">
        <v>893</v>
      </c>
      <c r="B304" s="19" t="s">
        <v>122</v>
      </c>
      <c r="C304" s="135" t="s">
        <v>689</v>
      </c>
      <c r="D304" s="135"/>
      <c r="E304" s="19" t="s">
        <v>695</v>
      </c>
      <c r="F304" s="102">
        <f>'Stavební rozpočet'!F304</f>
        <v>3</v>
      </c>
      <c r="G304" s="214">
        <f>'Stavební rozpočet'!G304</f>
        <v>0</v>
      </c>
      <c r="H304" s="102">
        <f>F304*AO304</f>
        <v>0</v>
      </c>
      <c r="I304" s="102">
        <f>F304*AP304</f>
        <v>0</v>
      </c>
      <c r="J304" s="102">
        <f>F304*G304</f>
        <v>0</v>
      </c>
      <c r="K304" s="103" t="s">
        <v>406</v>
      </c>
      <c r="Z304" s="102">
        <f>IF(AQ304="5",BJ304,0)</f>
        <v>0</v>
      </c>
      <c r="AB304" s="102">
        <f>IF(AQ304="1",BH304,0)</f>
        <v>0</v>
      </c>
      <c r="AC304" s="102">
        <f>IF(AQ304="1",BI304,0)</f>
        <v>0</v>
      </c>
      <c r="AD304" s="102">
        <f>IF(AQ304="7",BH304,0)</f>
        <v>0</v>
      </c>
      <c r="AE304" s="102">
        <f>IF(AQ304="7",BI304,0)</f>
        <v>0</v>
      </c>
      <c r="AF304" s="102">
        <f>IF(AQ304="2",BH304,0)</f>
        <v>0</v>
      </c>
      <c r="AG304" s="102">
        <f>IF(AQ304="2",BI304,0)</f>
        <v>0</v>
      </c>
      <c r="AH304" s="102">
        <f>IF(AQ304="0",BJ304,0)</f>
        <v>0</v>
      </c>
      <c r="AI304" s="87" t="s">
        <v>566</v>
      </c>
      <c r="AJ304" s="102">
        <f>IF(AN304=0,J304,0)</f>
        <v>0</v>
      </c>
      <c r="AK304" s="102">
        <f>IF(AN304=12,J304,0)</f>
        <v>0</v>
      </c>
      <c r="AL304" s="102">
        <f>IF(AN304=21,J304,0)</f>
        <v>0</v>
      </c>
      <c r="AN304" s="102">
        <v>21</v>
      </c>
      <c r="AO304" s="102">
        <f>G304*0</f>
        <v>0</v>
      </c>
      <c r="AP304" s="102">
        <f>G304*(1-0)</f>
        <v>0</v>
      </c>
      <c r="AQ304" s="104" t="s">
        <v>829</v>
      </c>
      <c r="AV304" s="102">
        <f>AW304+AX304</f>
        <v>0</v>
      </c>
      <c r="AW304" s="102">
        <f>F304*AO304</f>
        <v>0</v>
      </c>
      <c r="AX304" s="102">
        <f>F304*AP304</f>
        <v>0</v>
      </c>
      <c r="AY304" s="104" t="s">
        <v>911</v>
      </c>
      <c r="AZ304" s="104" t="s">
        <v>114</v>
      </c>
      <c r="BA304" s="87" t="s">
        <v>870</v>
      </c>
      <c r="BC304" s="102">
        <f>AW304+AX304</f>
        <v>0</v>
      </c>
      <c r="BD304" s="102">
        <f>G304/(100-BE304)*100</f>
        <v>0</v>
      </c>
      <c r="BE304" s="102">
        <v>0</v>
      </c>
      <c r="BF304" s="102">
        <f>304</f>
        <v>304</v>
      </c>
      <c r="BH304" s="102">
        <f>F304*AO304</f>
        <v>0</v>
      </c>
      <c r="BI304" s="102">
        <f>F304*AP304</f>
        <v>0</v>
      </c>
      <c r="BJ304" s="102">
        <f>F304*G304</f>
        <v>0</v>
      </c>
      <c r="BK304" s="102"/>
      <c r="BL304" s="102">
        <v>94</v>
      </c>
      <c r="BW304" s="102">
        <v>21</v>
      </c>
    </row>
    <row r="305" spans="1:11" ht="15">
      <c r="A305" s="105"/>
      <c r="C305" s="106" t="s">
        <v>724</v>
      </c>
      <c r="D305" s="107" t="s">
        <v>577</v>
      </c>
      <c r="F305" s="108">
        <v>3.0000000000000004</v>
      </c>
      <c r="G305" s="215"/>
      <c r="K305" s="109"/>
    </row>
    <row r="306" spans="1:75" ht="15">
      <c r="A306" s="23" t="s">
        <v>887</v>
      </c>
      <c r="B306" s="19" t="s">
        <v>871</v>
      </c>
      <c r="C306" s="135" t="s">
        <v>495</v>
      </c>
      <c r="D306" s="135"/>
      <c r="E306" s="19" t="s">
        <v>819</v>
      </c>
      <c r="F306" s="102">
        <f>'Stavební rozpočet'!F306</f>
        <v>381.5</v>
      </c>
      <c r="G306" s="214">
        <f>'Stavební rozpočet'!G306</f>
        <v>0</v>
      </c>
      <c r="H306" s="102">
        <f>F306*AO306</f>
        <v>0</v>
      </c>
      <c r="I306" s="102">
        <f>F306*AP306</f>
        <v>0</v>
      </c>
      <c r="J306" s="102">
        <f>F306*G306</f>
        <v>0</v>
      </c>
      <c r="K306" s="103" t="s">
        <v>406</v>
      </c>
      <c r="Z306" s="102">
        <f>IF(AQ306="5",BJ306,0)</f>
        <v>0</v>
      </c>
      <c r="AB306" s="102">
        <f>IF(AQ306="1",BH306,0)</f>
        <v>0</v>
      </c>
      <c r="AC306" s="102">
        <f>IF(AQ306="1",BI306,0)</f>
        <v>0</v>
      </c>
      <c r="AD306" s="102">
        <f>IF(AQ306="7",BH306,0)</f>
        <v>0</v>
      </c>
      <c r="AE306" s="102">
        <f>IF(AQ306="7",BI306,0)</f>
        <v>0</v>
      </c>
      <c r="AF306" s="102">
        <f>IF(AQ306="2",BH306,0)</f>
        <v>0</v>
      </c>
      <c r="AG306" s="102">
        <f>IF(AQ306="2",BI306,0)</f>
        <v>0</v>
      </c>
      <c r="AH306" s="102">
        <f>IF(AQ306="0",BJ306,0)</f>
        <v>0</v>
      </c>
      <c r="AI306" s="87" t="s">
        <v>566</v>
      </c>
      <c r="AJ306" s="102">
        <f>IF(AN306=0,J306,0)</f>
        <v>0</v>
      </c>
      <c r="AK306" s="102">
        <f>IF(AN306=12,J306,0)</f>
        <v>0</v>
      </c>
      <c r="AL306" s="102">
        <f>IF(AN306=21,J306,0)</f>
        <v>0</v>
      </c>
      <c r="AN306" s="102">
        <v>21</v>
      </c>
      <c r="AO306" s="102">
        <f>G306*0.0140579710144928</f>
        <v>0</v>
      </c>
      <c r="AP306" s="102">
        <f>G306*(1-0.0140579710144928)</f>
        <v>0</v>
      </c>
      <c r="AQ306" s="104" t="s">
        <v>829</v>
      </c>
      <c r="AV306" s="102">
        <f>AW306+AX306</f>
        <v>0</v>
      </c>
      <c r="AW306" s="102">
        <f>F306*AO306</f>
        <v>0</v>
      </c>
      <c r="AX306" s="102">
        <f>F306*AP306</f>
        <v>0</v>
      </c>
      <c r="AY306" s="104" t="s">
        <v>911</v>
      </c>
      <c r="AZ306" s="104" t="s">
        <v>114</v>
      </c>
      <c r="BA306" s="87" t="s">
        <v>870</v>
      </c>
      <c r="BC306" s="102">
        <f>AW306+AX306</f>
        <v>0</v>
      </c>
      <c r="BD306" s="102">
        <f>G306/(100-BE306)*100</f>
        <v>0</v>
      </c>
      <c r="BE306" s="102">
        <v>0</v>
      </c>
      <c r="BF306" s="102">
        <f>306</f>
        <v>306</v>
      </c>
      <c r="BH306" s="102">
        <f>F306*AO306</f>
        <v>0</v>
      </c>
      <c r="BI306" s="102">
        <f>F306*AP306</f>
        <v>0</v>
      </c>
      <c r="BJ306" s="102">
        <f>F306*G306</f>
        <v>0</v>
      </c>
      <c r="BK306" s="102"/>
      <c r="BL306" s="102">
        <v>94</v>
      </c>
      <c r="BW306" s="102">
        <v>21</v>
      </c>
    </row>
    <row r="307" spans="1:11" ht="15">
      <c r="A307" s="105"/>
      <c r="C307" s="106" t="s">
        <v>746</v>
      </c>
      <c r="D307" s="107" t="s">
        <v>218</v>
      </c>
      <c r="F307" s="108">
        <v>381.50000000000006</v>
      </c>
      <c r="G307" s="215"/>
      <c r="K307" s="109"/>
    </row>
    <row r="308" spans="1:75" ht="15">
      <c r="A308" s="23" t="s">
        <v>886</v>
      </c>
      <c r="B308" s="19" t="s">
        <v>189</v>
      </c>
      <c r="C308" s="135" t="s">
        <v>423</v>
      </c>
      <c r="D308" s="135"/>
      <c r="E308" s="19" t="s">
        <v>819</v>
      </c>
      <c r="F308" s="102">
        <f>'Stavební rozpočet'!F308</f>
        <v>1144.5</v>
      </c>
      <c r="G308" s="214">
        <f>'Stavební rozpočet'!G308</f>
        <v>0</v>
      </c>
      <c r="H308" s="102">
        <f>F308*AO308</f>
        <v>0</v>
      </c>
      <c r="I308" s="102">
        <f>F308*AP308</f>
        <v>0</v>
      </c>
      <c r="J308" s="102">
        <f>F308*G308</f>
        <v>0</v>
      </c>
      <c r="K308" s="103" t="s">
        <v>406</v>
      </c>
      <c r="Z308" s="102">
        <f>IF(AQ308="5",BJ308,0)</f>
        <v>0</v>
      </c>
      <c r="AB308" s="102">
        <f>IF(AQ308="1",BH308,0)</f>
        <v>0</v>
      </c>
      <c r="AC308" s="102">
        <f>IF(AQ308="1",BI308,0)</f>
        <v>0</v>
      </c>
      <c r="AD308" s="102">
        <f>IF(AQ308="7",BH308,0)</f>
        <v>0</v>
      </c>
      <c r="AE308" s="102">
        <f>IF(AQ308="7",BI308,0)</f>
        <v>0</v>
      </c>
      <c r="AF308" s="102">
        <f>IF(AQ308="2",BH308,0)</f>
        <v>0</v>
      </c>
      <c r="AG308" s="102">
        <f>IF(AQ308="2",BI308,0)</f>
        <v>0</v>
      </c>
      <c r="AH308" s="102">
        <f>IF(AQ308="0",BJ308,0)</f>
        <v>0</v>
      </c>
      <c r="AI308" s="87" t="s">
        <v>566</v>
      </c>
      <c r="AJ308" s="102">
        <f>IF(AN308=0,J308,0)</f>
        <v>0</v>
      </c>
      <c r="AK308" s="102">
        <f>IF(AN308=12,J308,0)</f>
        <v>0</v>
      </c>
      <c r="AL308" s="102">
        <f>IF(AN308=21,J308,0)</f>
        <v>0</v>
      </c>
      <c r="AN308" s="102">
        <v>21</v>
      </c>
      <c r="AO308" s="102">
        <f>G308*0.944117647058823</f>
        <v>0</v>
      </c>
      <c r="AP308" s="102">
        <f>G308*(1-0.944117647058823)</f>
        <v>0</v>
      </c>
      <c r="AQ308" s="104" t="s">
        <v>829</v>
      </c>
      <c r="AV308" s="102">
        <f>AW308+AX308</f>
        <v>0</v>
      </c>
      <c r="AW308" s="102">
        <f>F308*AO308</f>
        <v>0</v>
      </c>
      <c r="AX308" s="102">
        <f>F308*AP308</f>
        <v>0</v>
      </c>
      <c r="AY308" s="104" t="s">
        <v>911</v>
      </c>
      <c r="AZ308" s="104" t="s">
        <v>114</v>
      </c>
      <c r="BA308" s="87" t="s">
        <v>870</v>
      </c>
      <c r="BC308" s="102">
        <f>AW308+AX308</f>
        <v>0</v>
      </c>
      <c r="BD308" s="102">
        <f>G308/(100-BE308)*100</f>
        <v>0</v>
      </c>
      <c r="BE308" s="102">
        <v>0</v>
      </c>
      <c r="BF308" s="102">
        <f>308</f>
        <v>308</v>
      </c>
      <c r="BH308" s="102">
        <f>F308*AO308</f>
        <v>0</v>
      </c>
      <c r="BI308" s="102">
        <f>F308*AP308</f>
        <v>0</v>
      </c>
      <c r="BJ308" s="102">
        <f>F308*G308</f>
        <v>0</v>
      </c>
      <c r="BK308" s="102"/>
      <c r="BL308" s="102">
        <v>94</v>
      </c>
      <c r="BW308" s="102">
        <v>21</v>
      </c>
    </row>
    <row r="309" spans="1:11" ht="15">
      <c r="A309" s="105"/>
      <c r="C309" s="106" t="s">
        <v>803</v>
      </c>
      <c r="D309" s="107" t="s">
        <v>577</v>
      </c>
      <c r="F309" s="108">
        <v>1144.5</v>
      </c>
      <c r="G309" s="215"/>
      <c r="K309" s="109"/>
    </row>
    <row r="310" spans="1:75" ht="15">
      <c r="A310" s="23" t="s">
        <v>45</v>
      </c>
      <c r="B310" s="19" t="s">
        <v>153</v>
      </c>
      <c r="C310" s="135" t="s">
        <v>378</v>
      </c>
      <c r="D310" s="135"/>
      <c r="E310" s="19" t="s">
        <v>819</v>
      </c>
      <c r="F310" s="102">
        <f>'Stavební rozpočet'!F310</f>
        <v>935</v>
      </c>
      <c r="G310" s="214">
        <f>'Stavební rozpočet'!G310</f>
        <v>0</v>
      </c>
      <c r="H310" s="102">
        <f>F310*AO310</f>
        <v>0</v>
      </c>
      <c r="I310" s="102">
        <f>F310*AP310</f>
        <v>0</v>
      </c>
      <c r="J310" s="102">
        <f>F310*G310</f>
        <v>0</v>
      </c>
      <c r="K310" s="103" t="s">
        <v>406</v>
      </c>
      <c r="Z310" s="102">
        <f>IF(AQ310="5",BJ310,0)</f>
        <v>0</v>
      </c>
      <c r="AB310" s="102">
        <f>IF(AQ310="1",BH310,0)</f>
        <v>0</v>
      </c>
      <c r="AC310" s="102">
        <f>IF(AQ310="1",BI310,0)</f>
        <v>0</v>
      </c>
      <c r="AD310" s="102">
        <f>IF(AQ310="7",BH310,0)</f>
        <v>0</v>
      </c>
      <c r="AE310" s="102">
        <f>IF(AQ310="7",BI310,0)</f>
        <v>0</v>
      </c>
      <c r="AF310" s="102">
        <f>IF(AQ310="2",BH310,0)</f>
        <v>0</v>
      </c>
      <c r="AG310" s="102">
        <f>IF(AQ310="2",BI310,0)</f>
        <v>0</v>
      </c>
      <c r="AH310" s="102">
        <f>IF(AQ310="0",BJ310,0)</f>
        <v>0</v>
      </c>
      <c r="AI310" s="87" t="s">
        <v>566</v>
      </c>
      <c r="AJ310" s="102">
        <f>IF(AN310=0,J310,0)</f>
        <v>0</v>
      </c>
      <c r="AK310" s="102">
        <f>IF(AN310=12,J310,0)</f>
        <v>0</v>
      </c>
      <c r="AL310" s="102">
        <f>IF(AN310=21,J310,0)</f>
        <v>0</v>
      </c>
      <c r="AN310" s="102">
        <v>21</v>
      </c>
      <c r="AO310" s="102">
        <f>G310*0.00927059646667833</f>
        <v>0</v>
      </c>
      <c r="AP310" s="102">
        <f>G310*(1-0.00927059646667833)</f>
        <v>0</v>
      </c>
      <c r="AQ310" s="104" t="s">
        <v>829</v>
      </c>
      <c r="AV310" s="102">
        <f>AW310+AX310</f>
        <v>0</v>
      </c>
      <c r="AW310" s="102">
        <f>F310*AO310</f>
        <v>0</v>
      </c>
      <c r="AX310" s="102">
        <f>F310*AP310</f>
        <v>0</v>
      </c>
      <c r="AY310" s="104" t="s">
        <v>911</v>
      </c>
      <c r="AZ310" s="104" t="s">
        <v>114</v>
      </c>
      <c r="BA310" s="87" t="s">
        <v>870</v>
      </c>
      <c r="BC310" s="102">
        <f>AW310+AX310</f>
        <v>0</v>
      </c>
      <c r="BD310" s="102">
        <f>G310/(100-BE310)*100</f>
        <v>0</v>
      </c>
      <c r="BE310" s="102">
        <v>0</v>
      </c>
      <c r="BF310" s="102">
        <f>310</f>
        <v>310</v>
      </c>
      <c r="BH310" s="102">
        <f>F310*AO310</f>
        <v>0</v>
      </c>
      <c r="BI310" s="102">
        <f>F310*AP310</f>
        <v>0</v>
      </c>
      <c r="BJ310" s="102">
        <f>F310*G310</f>
        <v>0</v>
      </c>
      <c r="BK310" s="102"/>
      <c r="BL310" s="102">
        <v>94</v>
      </c>
      <c r="BW310" s="102">
        <v>21</v>
      </c>
    </row>
    <row r="311" spans="1:11" ht="15">
      <c r="A311" s="105"/>
      <c r="C311" s="106" t="s">
        <v>87</v>
      </c>
      <c r="D311" s="107" t="s">
        <v>42</v>
      </c>
      <c r="F311" s="108">
        <v>935.0000000000001</v>
      </c>
      <c r="G311" s="215"/>
      <c r="K311" s="109"/>
    </row>
    <row r="312" spans="1:75" ht="15">
      <c r="A312" s="23" t="s">
        <v>0</v>
      </c>
      <c r="B312" s="19" t="s">
        <v>710</v>
      </c>
      <c r="C312" s="135" t="s">
        <v>635</v>
      </c>
      <c r="D312" s="135"/>
      <c r="E312" s="19" t="s">
        <v>819</v>
      </c>
      <c r="F312" s="102">
        <f>'Stavební rozpočet'!F312</f>
        <v>2805</v>
      </c>
      <c r="G312" s="214">
        <f>'Stavební rozpočet'!G312</f>
        <v>0</v>
      </c>
      <c r="H312" s="102">
        <f>F312*AO312</f>
        <v>0</v>
      </c>
      <c r="I312" s="102">
        <f>F312*AP312</f>
        <v>0</v>
      </c>
      <c r="J312" s="102">
        <f>F312*G312</f>
        <v>0</v>
      </c>
      <c r="K312" s="103" t="s">
        <v>406</v>
      </c>
      <c r="Z312" s="102">
        <f>IF(AQ312="5",BJ312,0)</f>
        <v>0</v>
      </c>
      <c r="AB312" s="102">
        <f>IF(AQ312="1",BH312,0)</f>
        <v>0</v>
      </c>
      <c r="AC312" s="102">
        <f>IF(AQ312="1",BI312,0)</f>
        <v>0</v>
      </c>
      <c r="AD312" s="102">
        <f>IF(AQ312="7",BH312,0)</f>
        <v>0</v>
      </c>
      <c r="AE312" s="102">
        <f>IF(AQ312="7",BI312,0)</f>
        <v>0</v>
      </c>
      <c r="AF312" s="102">
        <f>IF(AQ312="2",BH312,0)</f>
        <v>0</v>
      </c>
      <c r="AG312" s="102">
        <f>IF(AQ312="2",BI312,0)</f>
        <v>0</v>
      </c>
      <c r="AH312" s="102">
        <f>IF(AQ312="0",BJ312,0)</f>
        <v>0</v>
      </c>
      <c r="AI312" s="87" t="s">
        <v>566</v>
      </c>
      <c r="AJ312" s="102">
        <f>IF(AN312=0,J312,0)</f>
        <v>0</v>
      </c>
      <c r="AK312" s="102">
        <f>IF(AN312=12,J312,0)</f>
        <v>0</v>
      </c>
      <c r="AL312" s="102">
        <f>IF(AN312=21,J312,0)</f>
        <v>0</v>
      </c>
      <c r="AN312" s="102">
        <v>21</v>
      </c>
      <c r="AO312" s="102">
        <f>G312*0.941785714285714</f>
        <v>0</v>
      </c>
      <c r="AP312" s="102">
        <f>G312*(1-0.941785714285714)</f>
        <v>0</v>
      </c>
      <c r="AQ312" s="104" t="s">
        <v>829</v>
      </c>
      <c r="AV312" s="102">
        <f>AW312+AX312</f>
        <v>0</v>
      </c>
      <c r="AW312" s="102">
        <f>F312*AO312</f>
        <v>0</v>
      </c>
      <c r="AX312" s="102">
        <f>F312*AP312</f>
        <v>0</v>
      </c>
      <c r="AY312" s="104" t="s">
        <v>911</v>
      </c>
      <c r="AZ312" s="104" t="s">
        <v>114</v>
      </c>
      <c r="BA312" s="87" t="s">
        <v>870</v>
      </c>
      <c r="BC312" s="102">
        <f>AW312+AX312</f>
        <v>0</v>
      </c>
      <c r="BD312" s="102">
        <f>G312/(100-BE312)*100</f>
        <v>0</v>
      </c>
      <c r="BE312" s="102">
        <v>0</v>
      </c>
      <c r="BF312" s="102">
        <f>312</f>
        <v>312</v>
      </c>
      <c r="BH312" s="102">
        <f>F312*AO312</f>
        <v>0</v>
      </c>
      <c r="BI312" s="102">
        <f>F312*AP312</f>
        <v>0</v>
      </c>
      <c r="BJ312" s="102">
        <f>F312*G312</f>
        <v>0</v>
      </c>
      <c r="BK312" s="102"/>
      <c r="BL312" s="102">
        <v>94</v>
      </c>
      <c r="BW312" s="102">
        <v>21</v>
      </c>
    </row>
    <row r="313" spans="1:11" ht="15">
      <c r="A313" s="105"/>
      <c r="C313" s="106" t="s">
        <v>97</v>
      </c>
      <c r="D313" s="107" t="s">
        <v>577</v>
      </c>
      <c r="F313" s="108">
        <v>2805.0000000000005</v>
      </c>
      <c r="G313" s="215"/>
      <c r="K313" s="109"/>
    </row>
    <row r="314" spans="1:75" ht="15">
      <c r="A314" s="23" t="s">
        <v>762</v>
      </c>
      <c r="B314" s="19" t="s">
        <v>447</v>
      </c>
      <c r="C314" s="135" t="s">
        <v>485</v>
      </c>
      <c r="D314" s="135"/>
      <c r="E314" s="19" t="s">
        <v>819</v>
      </c>
      <c r="F314" s="102">
        <f>'Stavební rozpočet'!F314</f>
        <v>381.5</v>
      </c>
      <c r="G314" s="214">
        <f>'Stavební rozpočet'!G314</f>
        <v>0</v>
      </c>
      <c r="H314" s="102">
        <f>F314*AO314</f>
        <v>0</v>
      </c>
      <c r="I314" s="102">
        <f>F314*AP314</f>
        <v>0</v>
      </c>
      <c r="J314" s="102">
        <f>F314*G314</f>
        <v>0</v>
      </c>
      <c r="K314" s="103" t="s">
        <v>406</v>
      </c>
      <c r="Z314" s="102">
        <f>IF(AQ314="5",BJ314,0)</f>
        <v>0</v>
      </c>
      <c r="AB314" s="102">
        <f>IF(AQ314="1",BH314,0)</f>
        <v>0</v>
      </c>
      <c r="AC314" s="102">
        <f>IF(AQ314="1",BI314,0)</f>
        <v>0</v>
      </c>
      <c r="AD314" s="102">
        <f>IF(AQ314="7",BH314,0)</f>
        <v>0</v>
      </c>
      <c r="AE314" s="102">
        <f>IF(AQ314="7",BI314,0)</f>
        <v>0</v>
      </c>
      <c r="AF314" s="102">
        <f>IF(AQ314="2",BH314,0)</f>
        <v>0</v>
      </c>
      <c r="AG314" s="102">
        <f>IF(AQ314="2",BI314,0)</f>
        <v>0</v>
      </c>
      <c r="AH314" s="102">
        <f>IF(AQ314="0",BJ314,0)</f>
        <v>0</v>
      </c>
      <c r="AI314" s="87" t="s">
        <v>566</v>
      </c>
      <c r="AJ314" s="102">
        <f>IF(AN314=0,J314,0)</f>
        <v>0</v>
      </c>
      <c r="AK314" s="102">
        <f>IF(AN314=12,J314,0)</f>
        <v>0</v>
      </c>
      <c r="AL314" s="102">
        <f>IF(AN314=21,J314,0)</f>
        <v>0</v>
      </c>
      <c r="AN314" s="102">
        <v>21</v>
      </c>
      <c r="AO314" s="102">
        <f>G314*0</f>
        <v>0</v>
      </c>
      <c r="AP314" s="102">
        <f>G314*(1-0)</f>
        <v>0</v>
      </c>
      <c r="AQ314" s="104" t="s">
        <v>829</v>
      </c>
      <c r="AV314" s="102">
        <f>AW314+AX314</f>
        <v>0</v>
      </c>
      <c r="AW314" s="102">
        <f>F314*AO314</f>
        <v>0</v>
      </c>
      <c r="AX314" s="102">
        <f>F314*AP314</f>
        <v>0</v>
      </c>
      <c r="AY314" s="104" t="s">
        <v>911</v>
      </c>
      <c r="AZ314" s="104" t="s">
        <v>114</v>
      </c>
      <c r="BA314" s="87" t="s">
        <v>870</v>
      </c>
      <c r="BC314" s="102">
        <f>AW314+AX314</f>
        <v>0</v>
      </c>
      <c r="BD314" s="102">
        <f>G314/(100-BE314)*100</f>
        <v>0</v>
      </c>
      <c r="BE314" s="102">
        <v>0</v>
      </c>
      <c r="BF314" s="102">
        <f>314</f>
        <v>314</v>
      </c>
      <c r="BH314" s="102">
        <f>F314*AO314</f>
        <v>0</v>
      </c>
      <c r="BI314" s="102">
        <f>F314*AP314</f>
        <v>0</v>
      </c>
      <c r="BJ314" s="102">
        <f>F314*G314</f>
        <v>0</v>
      </c>
      <c r="BK314" s="102"/>
      <c r="BL314" s="102">
        <v>94</v>
      </c>
      <c r="BW314" s="102">
        <v>21</v>
      </c>
    </row>
    <row r="315" spans="1:11" ht="15">
      <c r="A315" s="105"/>
      <c r="C315" s="106" t="s">
        <v>746</v>
      </c>
      <c r="D315" s="107" t="s">
        <v>218</v>
      </c>
      <c r="F315" s="108">
        <v>381.50000000000006</v>
      </c>
      <c r="G315" s="215"/>
      <c r="K315" s="109"/>
    </row>
    <row r="316" spans="1:75" ht="15">
      <c r="A316" s="23" t="s">
        <v>111</v>
      </c>
      <c r="B316" s="19" t="s">
        <v>266</v>
      </c>
      <c r="C316" s="135" t="s">
        <v>22</v>
      </c>
      <c r="D316" s="135"/>
      <c r="E316" s="19" t="s">
        <v>819</v>
      </c>
      <c r="F316" s="102">
        <f>'Stavební rozpočet'!F316</f>
        <v>935</v>
      </c>
      <c r="G316" s="214">
        <f>'Stavební rozpočet'!G316</f>
        <v>0</v>
      </c>
      <c r="H316" s="102">
        <f>F316*AO316</f>
        <v>0</v>
      </c>
      <c r="I316" s="102">
        <f>F316*AP316</f>
        <v>0</v>
      </c>
      <c r="J316" s="102">
        <f>F316*G316</f>
        <v>0</v>
      </c>
      <c r="K316" s="103" t="s">
        <v>406</v>
      </c>
      <c r="Z316" s="102">
        <f>IF(AQ316="5",BJ316,0)</f>
        <v>0</v>
      </c>
      <c r="AB316" s="102">
        <f>IF(AQ316="1",BH316,0)</f>
        <v>0</v>
      </c>
      <c r="AC316" s="102">
        <f>IF(AQ316="1",BI316,0)</f>
        <v>0</v>
      </c>
      <c r="AD316" s="102">
        <f>IF(AQ316="7",BH316,0)</f>
        <v>0</v>
      </c>
      <c r="AE316" s="102">
        <f>IF(AQ316="7",BI316,0)</f>
        <v>0</v>
      </c>
      <c r="AF316" s="102">
        <f>IF(AQ316="2",BH316,0)</f>
        <v>0</v>
      </c>
      <c r="AG316" s="102">
        <f>IF(AQ316="2",BI316,0)</f>
        <v>0</v>
      </c>
      <c r="AH316" s="102">
        <f>IF(AQ316="0",BJ316,0)</f>
        <v>0</v>
      </c>
      <c r="AI316" s="87" t="s">
        <v>566</v>
      </c>
      <c r="AJ316" s="102">
        <f>IF(AN316=0,J316,0)</f>
        <v>0</v>
      </c>
      <c r="AK316" s="102">
        <f>IF(AN316=12,J316,0)</f>
        <v>0</v>
      </c>
      <c r="AL316" s="102">
        <f>IF(AN316=21,J316,0)</f>
        <v>0</v>
      </c>
      <c r="AN316" s="102">
        <v>21</v>
      </c>
      <c r="AO316" s="102">
        <f>G316*0</f>
        <v>0</v>
      </c>
      <c r="AP316" s="102">
        <f>G316*(1-0)</f>
        <v>0</v>
      </c>
      <c r="AQ316" s="104" t="s">
        <v>829</v>
      </c>
      <c r="AV316" s="102">
        <f>AW316+AX316</f>
        <v>0</v>
      </c>
      <c r="AW316" s="102">
        <f>F316*AO316</f>
        <v>0</v>
      </c>
      <c r="AX316" s="102">
        <f>F316*AP316</f>
        <v>0</v>
      </c>
      <c r="AY316" s="104" t="s">
        <v>911</v>
      </c>
      <c r="AZ316" s="104" t="s">
        <v>114</v>
      </c>
      <c r="BA316" s="87" t="s">
        <v>870</v>
      </c>
      <c r="BC316" s="102">
        <f>AW316+AX316</f>
        <v>0</v>
      </c>
      <c r="BD316" s="102">
        <f>G316/(100-BE316)*100</f>
        <v>0</v>
      </c>
      <c r="BE316" s="102">
        <v>0</v>
      </c>
      <c r="BF316" s="102">
        <f>316</f>
        <v>316</v>
      </c>
      <c r="BH316" s="102">
        <f>F316*AO316</f>
        <v>0</v>
      </c>
      <c r="BI316" s="102">
        <f>F316*AP316</f>
        <v>0</v>
      </c>
      <c r="BJ316" s="102">
        <f>F316*G316</f>
        <v>0</v>
      </c>
      <c r="BK316" s="102"/>
      <c r="BL316" s="102">
        <v>94</v>
      </c>
      <c r="BW316" s="102">
        <v>21</v>
      </c>
    </row>
    <row r="317" spans="1:11" ht="15">
      <c r="A317" s="105"/>
      <c r="C317" s="106" t="s">
        <v>87</v>
      </c>
      <c r="D317" s="107" t="s">
        <v>42</v>
      </c>
      <c r="F317" s="108">
        <v>935.0000000000001</v>
      </c>
      <c r="G317" s="215"/>
      <c r="K317" s="109"/>
    </row>
    <row r="318" spans="1:75" ht="15">
      <c r="A318" s="23" t="s">
        <v>361</v>
      </c>
      <c r="B318" s="19" t="s">
        <v>665</v>
      </c>
      <c r="C318" s="135" t="s">
        <v>787</v>
      </c>
      <c r="D318" s="135"/>
      <c r="E318" s="19" t="s">
        <v>819</v>
      </c>
      <c r="F318" s="102">
        <f>'Stavební rozpočet'!F318</f>
        <v>150</v>
      </c>
      <c r="G318" s="214">
        <f>'Stavební rozpočet'!G318</f>
        <v>0</v>
      </c>
      <c r="H318" s="102">
        <f>F318*AO318</f>
        <v>0</v>
      </c>
      <c r="I318" s="102">
        <f>F318*AP318</f>
        <v>0</v>
      </c>
      <c r="J318" s="102">
        <f>F318*G318</f>
        <v>0</v>
      </c>
      <c r="K318" s="103" t="s">
        <v>406</v>
      </c>
      <c r="Z318" s="102">
        <f>IF(AQ318="5",BJ318,0)</f>
        <v>0</v>
      </c>
      <c r="AB318" s="102">
        <f>IF(AQ318="1",BH318,0)</f>
        <v>0</v>
      </c>
      <c r="AC318" s="102">
        <f>IF(AQ318="1",BI318,0)</f>
        <v>0</v>
      </c>
      <c r="AD318" s="102">
        <f>IF(AQ318="7",BH318,0)</f>
        <v>0</v>
      </c>
      <c r="AE318" s="102">
        <f>IF(AQ318="7",BI318,0)</f>
        <v>0</v>
      </c>
      <c r="AF318" s="102">
        <f>IF(AQ318="2",BH318,0)</f>
        <v>0</v>
      </c>
      <c r="AG318" s="102">
        <f>IF(AQ318="2",BI318,0)</f>
        <v>0</v>
      </c>
      <c r="AH318" s="102">
        <f>IF(AQ318="0",BJ318,0)</f>
        <v>0</v>
      </c>
      <c r="AI318" s="87" t="s">
        <v>566</v>
      </c>
      <c r="AJ318" s="102">
        <f>IF(AN318=0,J318,0)</f>
        <v>0</v>
      </c>
      <c r="AK318" s="102">
        <f>IF(AN318=12,J318,0)</f>
        <v>0</v>
      </c>
      <c r="AL318" s="102">
        <f>IF(AN318=21,J318,0)</f>
        <v>0</v>
      </c>
      <c r="AN318" s="102">
        <v>21</v>
      </c>
      <c r="AO318" s="102">
        <f>G318*0.401818181818182</f>
        <v>0</v>
      </c>
      <c r="AP318" s="102">
        <f>G318*(1-0.401818181818182)</f>
        <v>0</v>
      </c>
      <c r="AQ318" s="104" t="s">
        <v>829</v>
      </c>
      <c r="AV318" s="102">
        <f>AW318+AX318</f>
        <v>0</v>
      </c>
      <c r="AW318" s="102">
        <f>F318*AO318</f>
        <v>0</v>
      </c>
      <c r="AX318" s="102">
        <f>F318*AP318</f>
        <v>0</v>
      </c>
      <c r="AY318" s="104" t="s">
        <v>911</v>
      </c>
      <c r="AZ318" s="104" t="s">
        <v>114</v>
      </c>
      <c r="BA318" s="87" t="s">
        <v>870</v>
      </c>
      <c r="BC318" s="102">
        <f>AW318+AX318</f>
        <v>0</v>
      </c>
      <c r="BD318" s="102">
        <f>G318/(100-BE318)*100</f>
        <v>0</v>
      </c>
      <c r="BE318" s="102">
        <v>0</v>
      </c>
      <c r="BF318" s="102">
        <f>318</f>
        <v>318</v>
      </c>
      <c r="BH318" s="102">
        <f>F318*AO318</f>
        <v>0</v>
      </c>
      <c r="BI318" s="102">
        <f>F318*AP318</f>
        <v>0</v>
      </c>
      <c r="BJ318" s="102">
        <f>F318*G318</f>
        <v>0</v>
      </c>
      <c r="BK318" s="102"/>
      <c r="BL318" s="102">
        <v>94</v>
      </c>
      <c r="BW318" s="102">
        <v>21</v>
      </c>
    </row>
    <row r="319" spans="1:11" ht="25.5">
      <c r="A319" s="105"/>
      <c r="C319" s="106" t="s">
        <v>375</v>
      </c>
      <c r="D319" s="107" t="s">
        <v>30</v>
      </c>
      <c r="F319" s="108">
        <v>150</v>
      </c>
      <c r="G319" s="215"/>
      <c r="K319" s="109"/>
    </row>
    <row r="320" spans="1:47" ht="15">
      <c r="A320" s="99" t="s">
        <v>577</v>
      </c>
      <c r="B320" s="22" t="s">
        <v>361</v>
      </c>
      <c r="C320" s="201" t="s">
        <v>621</v>
      </c>
      <c r="D320" s="201"/>
      <c r="E320" s="100" t="s">
        <v>774</v>
      </c>
      <c r="F320" s="100" t="s">
        <v>774</v>
      </c>
      <c r="G320" s="100" t="s">
        <v>774</v>
      </c>
      <c r="H320" s="82">
        <f>SUM(H321:H333)</f>
        <v>0</v>
      </c>
      <c r="I320" s="82">
        <f>SUM(I321:I333)</f>
        <v>0</v>
      </c>
      <c r="J320" s="82">
        <f>SUM(J321:J333)</f>
        <v>0</v>
      </c>
      <c r="K320" s="101" t="s">
        <v>577</v>
      </c>
      <c r="AI320" s="87" t="s">
        <v>566</v>
      </c>
      <c r="AS320" s="82">
        <f>SUM(AJ321:AJ333)</f>
        <v>0</v>
      </c>
      <c r="AT320" s="82">
        <f>SUM(AK321:AK333)</f>
        <v>0</v>
      </c>
      <c r="AU320" s="82">
        <f>SUM(AL321:AL333)</f>
        <v>0</v>
      </c>
    </row>
    <row r="321" spans="1:75" ht="15">
      <c r="A321" s="23" t="s">
        <v>480</v>
      </c>
      <c r="B321" s="19" t="s">
        <v>47</v>
      </c>
      <c r="C321" s="135" t="s">
        <v>29</v>
      </c>
      <c r="D321" s="135"/>
      <c r="E321" s="19" t="s">
        <v>819</v>
      </c>
      <c r="F321" s="102">
        <f>'Stavební rozpočet'!F321</f>
        <v>100</v>
      </c>
      <c r="G321" s="214">
        <f>'Stavební rozpočet'!G321</f>
        <v>0</v>
      </c>
      <c r="H321" s="102">
        <f>F321*AO321</f>
        <v>0</v>
      </c>
      <c r="I321" s="102">
        <f>F321*AP321</f>
        <v>0</v>
      </c>
      <c r="J321" s="102">
        <f>F321*G321</f>
        <v>0</v>
      </c>
      <c r="K321" s="103" t="s">
        <v>406</v>
      </c>
      <c r="Z321" s="102">
        <f>IF(AQ321="5",BJ321,0)</f>
        <v>0</v>
      </c>
      <c r="AB321" s="102">
        <f>IF(AQ321="1",BH321,0)</f>
        <v>0</v>
      </c>
      <c r="AC321" s="102">
        <f>IF(AQ321="1",BI321,0)</f>
        <v>0</v>
      </c>
      <c r="AD321" s="102">
        <f>IF(AQ321="7",BH321,0)</f>
        <v>0</v>
      </c>
      <c r="AE321" s="102">
        <f>IF(AQ321="7",BI321,0)</f>
        <v>0</v>
      </c>
      <c r="AF321" s="102">
        <f>IF(AQ321="2",BH321,0)</f>
        <v>0</v>
      </c>
      <c r="AG321" s="102">
        <f>IF(AQ321="2",BI321,0)</f>
        <v>0</v>
      </c>
      <c r="AH321" s="102">
        <f>IF(AQ321="0",BJ321,0)</f>
        <v>0</v>
      </c>
      <c r="AI321" s="87" t="s">
        <v>566</v>
      </c>
      <c r="AJ321" s="102">
        <f>IF(AN321=0,J321,0)</f>
        <v>0</v>
      </c>
      <c r="AK321" s="102">
        <f>IF(AN321=12,J321,0)</f>
        <v>0</v>
      </c>
      <c r="AL321" s="102">
        <f>IF(AN321=21,J321,0)</f>
        <v>0</v>
      </c>
      <c r="AN321" s="102">
        <v>21</v>
      </c>
      <c r="AO321" s="102">
        <f>G321*0.525599128540305</f>
        <v>0</v>
      </c>
      <c r="AP321" s="102">
        <f>G321*(1-0.525599128540305)</f>
        <v>0</v>
      </c>
      <c r="AQ321" s="104" t="s">
        <v>829</v>
      </c>
      <c r="AV321" s="102">
        <f>AW321+AX321</f>
        <v>0</v>
      </c>
      <c r="AW321" s="102">
        <f>F321*AO321</f>
        <v>0</v>
      </c>
      <c r="AX321" s="102">
        <f>F321*AP321</f>
        <v>0</v>
      </c>
      <c r="AY321" s="104" t="s">
        <v>515</v>
      </c>
      <c r="AZ321" s="104" t="s">
        <v>114</v>
      </c>
      <c r="BA321" s="87" t="s">
        <v>870</v>
      </c>
      <c r="BC321" s="102">
        <f>AW321+AX321</f>
        <v>0</v>
      </c>
      <c r="BD321" s="102">
        <f>G321/(100-BE321)*100</f>
        <v>0</v>
      </c>
      <c r="BE321" s="102">
        <v>0</v>
      </c>
      <c r="BF321" s="102">
        <f>321</f>
        <v>321</v>
      </c>
      <c r="BH321" s="102">
        <f>F321*AO321</f>
        <v>0</v>
      </c>
      <c r="BI321" s="102">
        <f>F321*AP321</f>
        <v>0</v>
      </c>
      <c r="BJ321" s="102">
        <f>F321*G321</f>
        <v>0</v>
      </c>
      <c r="BK321" s="102"/>
      <c r="BL321" s="102">
        <v>95</v>
      </c>
      <c r="BW321" s="102">
        <v>21</v>
      </c>
    </row>
    <row r="322" spans="1:11" ht="15">
      <c r="A322" s="105"/>
      <c r="C322" s="106" t="s">
        <v>691</v>
      </c>
      <c r="D322" s="107" t="s">
        <v>577</v>
      </c>
      <c r="F322" s="108">
        <v>100.00000000000001</v>
      </c>
      <c r="G322" s="215"/>
      <c r="K322" s="109"/>
    </row>
    <row r="323" spans="1:75" ht="15">
      <c r="A323" s="23" t="s">
        <v>109</v>
      </c>
      <c r="B323" s="19" t="s">
        <v>632</v>
      </c>
      <c r="C323" s="135" t="s">
        <v>463</v>
      </c>
      <c r="D323" s="135"/>
      <c r="E323" s="19" t="s">
        <v>819</v>
      </c>
      <c r="F323" s="102">
        <f>'Stavební rozpočet'!F323</f>
        <v>100</v>
      </c>
      <c r="G323" s="214">
        <f>'Stavební rozpočet'!G323</f>
        <v>0</v>
      </c>
      <c r="H323" s="102">
        <f>F323*AO323</f>
        <v>0</v>
      </c>
      <c r="I323" s="102">
        <f>F323*AP323</f>
        <v>0</v>
      </c>
      <c r="J323" s="102">
        <f>F323*G323</f>
        <v>0</v>
      </c>
      <c r="K323" s="103" t="s">
        <v>406</v>
      </c>
      <c r="Z323" s="102">
        <f>IF(AQ323="5",BJ323,0)</f>
        <v>0</v>
      </c>
      <c r="AB323" s="102">
        <f>IF(AQ323="1",BH323,0)</f>
        <v>0</v>
      </c>
      <c r="AC323" s="102">
        <f>IF(AQ323="1",BI323,0)</f>
        <v>0</v>
      </c>
      <c r="AD323" s="102">
        <f>IF(AQ323="7",BH323,0)</f>
        <v>0</v>
      </c>
      <c r="AE323" s="102">
        <f>IF(AQ323="7",BI323,0)</f>
        <v>0</v>
      </c>
      <c r="AF323" s="102">
        <f>IF(AQ323="2",BH323,0)</f>
        <v>0</v>
      </c>
      <c r="AG323" s="102">
        <f>IF(AQ323="2",BI323,0)</f>
        <v>0</v>
      </c>
      <c r="AH323" s="102">
        <f>IF(AQ323="0",BJ323,0)</f>
        <v>0</v>
      </c>
      <c r="AI323" s="87" t="s">
        <v>566</v>
      </c>
      <c r="AJ323" s="102">
        <f>IF(AN323=0,J323,0)</f>
        <v>0</v>
      </c>
      <c r="AK323" s="102">
        <f>IF(AN323=12,J323,0)</f>
        <v>0</v>
      </c>
      <c r="AL323" s="102">
        <f>IF(AN323=21,J323,0)</f>
        <v>0</v>
      </c>
      <c r="AN323" s="102">
        <v>21</v>
      </c>
      <c r="AO323" s="102">
        <f>G323*0.0017741935483871</f>
        <v>0</v>
      </c>
      <c r="AP323" s="102">
        <f>G323*(1-0.0017741935483871)</f>
        <v>0</v>
      </c>
      <c r="AQ323" s="104" t="s">
        <v>829</v>
      </c>
      <c r="AV323" s="102">
        <f>AW323+AX323</f>
        <v>0</v>
      </c>
      <c r="AW323" s="102">
        <f>F323*AO323</f>
        <v>0</v>
      </c>
      <c r="AX323" s="102">
        <f>F323*AP323</f>
        <v>0</v>
      </c>
      <c r="AY323" s="104" t="s">
        <v>515</v>
      </c>
      <c r="AZ323" s="104" t="s">
        <v>114</v>
      </c>
      <c r="BA323" s="87" t="s">
        <v>870</v>
      </c>
      <c r="BC323" s="102">
        <f>AW323+AX323</f>
        <v>0</v>
      </c>
      <c r="BD323" s="102">
        <f>G323/(100-BE323)*100</f>
        <v>0</v>
      </c>
      <c r="BE323" s="102">
        <v>0</v>
      </c>
      <c r="BF323" s="102">
        <f>323</f>
        <v>323</v>
      </c>
      <c r="BH323" s="102">
        <f>F323*AO323</f>
        <v>0</v>
      </c>
      <c r="BI323" s="102">
        <f>F323*AP323</f>
        <v>0</v>
      </c>
      <c r="BJ323" s="102">
        <f>F323*G323</f>
        <v>0</v>
      </c>
      <c r="BK323" s="102"/>
      <c r="BL323" s="102">
        <v>95</v>
      </c>
      <c r="BW323" s="102">
        <v>21</v>
      </c>
    </row>
    <row r="324" spans="1:11" ht="15">
      <c r="A324" s="105"/>
      <c r="C324" s="106" t="s">
        <v>691</v>
      </c>
      <c r="D324" s="107" t="s">
        <v>577</v>
      </c>
      <c r="F324" s="108">
        <v>100.00000000000001</v>
      </c>
      <c r="G324" s="215"/>
      <c r="K324" s="109"/>
    </row>
    <row r="325" spans="1:75" ht="15">
      <c r="A325" s="23" t="s">
        <v>582</v>
      </c>
      <c r="B325" s="19" t="s">
        <v>303</v>
      </c>
      <c r="C325" s="135" t="s">
        <v>259</v>
      </c>
      <c r="D325" s="135"/>
      <c r="E325" s="19" t="s">
        <v>224</v>
      </c>
      <c r="F325" s="102">
        <f>'Stavební rozpočet'!F325</f>
        <v>96</v>
      </c>
      <c r="G325" s="214">
        <f>'Stavební rozpočet'!G325</f>
        <v>0</v>
      </c>
      <c r="H325" s="102">
        <f>F325*AO325</f>
        <v>0</v>
      </c>
      <c r="I325" s="102">
        <f>F325*AP325</f>
        <v>0</v>
      </c>
      <c r="J325" s="102">
        <f>F325*G325</f>
        <v>0</v>
      </c>
      <c r="K325" s="103" t="s">
        <v>406</v>
      </c>
      <c r="Z325" s="102">
        <f>IF(AQ325="5",BJ325,0)</f>
        <v>0</v>
      </c>
      <c r="AB325" s="102">
        <f>IF(AQ325="1",BH325,0)</f>
        <v>0</v>
      </c>
      <c r="AC325" s="102">
        <f>IF(AQ325="1",BI325,0)</f>
        <v>0</v>
      </c>
      <c r="AD325" s="102">
        <f>IF(AQ325="7",BH325,0)</f>
        <v>0</v>
      </c>
      <c r="AE325" s="102">
        <f>IF(AQ325="7",BI325,0)</f>
        <v>0</v>
      </c>
      <c r="AF325" s="102">
        <f>IF(AQ325="2",BH325,0)</f>
        <v>0</v>
      </c>
      <c r="AG325" s="102">
        <f>IF(AQ325="2",BI325,0)</f>
        <v>0</v>
      </c>
      <c r="AH325" s="102">
        <f>IF(AQ325="0",BJ325,0)</f>
        <v>0</v>
      </c>
      <c r="AI325" s="87" t="s">
        <v>566</v>
      </c>
      <c r="AJ325" s="102">
        <f>IF(AN325=0,J325,0)</f>
        <v>0</v>
      </c>
      <c r="AK325" s="102">
        <f>IF(AN325=12,J325,0)</f>
        <v>0</v>
      </c>
      <c r="AL325" s="102">
        <f>IF(AN325=21,J325,0)</f>
        <v>0</v>
      </c>
      <c r="AN325" s="102">
        <v>21</v>
      </c>
      <c r="AO325" s="102">
        <f>G325*0.547430748209184</f>
        <v>0</v>
      </c>
      <c r="AP325" s="102">
        <f>G325*(1-0.547430748209184)</f>
        <v>0</v>
      </c>
      <c r="AQ325" s="104" t="s">
        <v>829</v>
      </c>
      <c r="AV325" s="102">
        <f>AW325+AX325</f>
        <v>0</v>
      </c>
      <c r="AW325" s="102">
        <f>F325*AO325</f>
        <v>0</v>
      </c>
      <c r="AX325" s="102">
        <f>F325*AP325</f>
        <v>0</v>
      </c>
      <c r="AY325" s="104" t="s">
        <v>515</v>
      </c>
      <c r="AZ325" s="104" t="s">
        <v>114</v>
      </c>
      <c r="BA325" s="87" t="s">
        <v>870</v>
      </c>
      <c r="BC325" s="102">
        <f>AW325+AX325</f>
        <v>0</v>
      </c>
      <c r="BD325" s="102">
        <f>G325/(100-BE325)*100</f>
        <v>0</v>
      </c>
      <c r="BE325" s="102">
        <v>0</v>
      </c>
      <c r="BF325" s="102">
        <f>325</f>
        <v>325</v>
      </c>
      <c r="BH325" s="102">
        <f>F325*AO325</f>
        <v>0</v>
      </c>
      <c r="BI325" s="102">
        <f>F325*AP325</f>
        <v>0</v>
      </c>
      <c r="BJ325" s="102">
        <f>F325*G325</f>
        <v>0</v>
      </c>
      <c r="BK325" s="102"/>
      <c r="BL325" s="102">
        <v>95</v>
      </c>
      <c r="BW325" s="102">
        <v>21</v>
      </c>
    </row>
    <row r="326" spans="1:11" ht="15">
      <c r="A326" s="105"/>
      <c r="C326" s="106" t="s">
        <v>260</v>
      </c>
      <c r="D326" s="107" t="s">
        <v>577</v>
      </c>
      <c r="F326" s="108">
        <v>96.00000000000001</v>
      </c>
      <c r="G326" s="215"/>
      <c r="K326" s="109"/>
    </row>
    <row r="327" spans="1:75" ht="15">
      <c r="A327" s="110" t="s">
        <v>419</v>
      </c>
      <c r="B327" s="62" t="s">
        <v>682</v>
      </c>
      <c r="C327" s="204" t="s">
        <v>112</v>
      </c>
      <c r="D327" s="204"/>
      <c r="E327" s="62" t="s">
        <v>695</v>
      </c>
      <c r="F327" s="111">
        <f>'Stavební rozpočet'!F327</f>
        <v>28.8</v>
      </c>
      <c r="G327" s="216">
        <f>'Stavební rozpočet'!G327</f>
        <v>0</v>
      </c>
      <c r="H327" s="111">
        <f>F327*AO327</f>
        <v>0</v>
      </c>
      <c r="I327" s="111">
        <f>F327*AP327</f>
        <v>0</v>
      </c>
      <c r="J327" s="111">
        <f>F327*G327</f>
        <v>0</v>
      </c>
      <c r="K327" s="112" t="s">
        <v>406</v>
      </c>
      <c r="Z327" s="102">
        <f>IF(AQ327="5",BJ327,0)</f>
        <v>0</v>
      </c>
      <c r="AB327" s="102">
        <f>IF(AQ327="1",BH327,0)</f>
        <v>0</v>
      </c>
      <c r="AC327" s="102">
        <f>IF(AQ327="1",BI327,0)</f>
        <v>0</v>
      </c>
      <c r="AD327" s="102">
        <f>IF(AQ327="7",BH327,0)</f>
        <v>0</v>
      </c>
      <c r="AE327" s="102">
        <f>IF(AQ327="7",BI327,0)</f>
        <v>0</v>
      </c>
      <c r="AF327" s="102">
        <f>IF(AQ327="2",BH327,0)</f>
        <v>0</v>
      </c>
      <c r="AG327" s="102">
        <f>IF(AQ327="2",BI327,0)</f>
        <v>0</v>
      </c>
      <c r="AH327" s="102">
        <f>IF(AQ327="0",BJ327,0)</f>
        <v>0</v>
      </c>
      <c r="AI327" s="87" t="s">
        <v>566</v>
      </c>
      <c r="AJ327" s="111">
        <f>IF(AN327=0,J327,0)</f>
        <v>0</v>
      </c>
      <c r="AK327" s="111">
        <f>IF(AN327=12,J327,0)</f>
        <v>0</v>
      </c>
      <c r="AL327" s="111">
        <f>IF(AN327=21,J327,0)</f>
        <v>0</v>
      </c>
      <c r="AN327" s="102">
        <v>21</v>
      </c>
      <c r="AO327" s="102">
        <f>G327*1</f>
        <v>0</v>
      </c>
      <c r="AP327" s="102">
        <f>G327*(1-1)</f>
        <v>0</v>
      </c>
      <c r="AQ327" s="113" t="s">
        <v>829</v>
      </c>
      <c r="AV327" s="102">
        <f>AW327+AX327</f>
        <v>0</v>
      </c>
      <c r="AW327" s="102">
        <f>F327*AO327</f>
        <v>0</v>
      </c>
      <c r="AX327" s="102">
        <f>F327*AP327</f>
        <v>0</v>
      </c>
      <c r="AY327" s="104" t="s">
        <v>515</v>
      </c>
      <c r="AZ327" s="104" t="s">
        <v>114</v>
      </c>
      <c r="BA327" s="87" t="s">
        <v>870</v>
      </c>
      <c r="BC327" s="102">
        <f>AW327+AX327</f>
        <v>0</v>
      </c>
      <c r="BD327" s="102">
        <f>G327/(100-BE327)*100</f>
        <v>0</v>
      </c>
      <c r="BE327" s="102">
        <v>0</v>
      </c>
      <c r="BF327" s="102">
        <f>327</f>
        <v>327</v>
      </c>
      <c r="BH327" s="111">
        <f>F327*AO327</f>
        <v>0</v>
      </c>
      <c r="BI327" s="111">
        <f>F327*AP327</f>
        <v>0</v>
      </c>
      <c r="BJ327" s="111">
        <f>F327*G327</f>
        <v>0</v>
      </c>
      <c r="BK327" s="111"/>
      <c r="BL327" s="102">
        <v>95</v>
      </c>
      <c r="BW327" s="102">
        <v>21</v>
      </c>
    </row>
    <row r="328" spans="1:11" ht="15">
      <c r="A328" s="105"/>
      <c r="C328" s="106" t="s">
        <v>238</v>
      </c>
      <c r="D328" s="107" t="s">
        <v>577</v>
      </c>
      <c r="F328" s="108">
        <v>28.8</v>
      </c>
      <c r="G328" s="215"/>
      <c r="K328" s="109"/>
    </row>
    <row r="329" spans="1:75" ht="15">
      <c r="A329" s="23" t="s">
        <v>691</v>
      </c>
      <c r="B329" s="19" t="s">
        <v>53</v>
      </c>
      <c r="C329" s="135" t="s">
        <v>80</v>
      </c>
      <c r="D329" s="135"/>
      <c r="E329" s="19" t="s">
        <v>819</v>
      </c>
      <c r="F329" s="102">
        <f>'Stavební rozpočet'!F329</f>
        <v>37.77</v>
      </c>
      <c r="G329" s="214">
        <f>'Stavební rozpočet'!G329</f>
        <v>0</v>
      </c>
      <c r="H329" s="102">
        <f>F329*AO329</f>
        <v>0</v>
      </c>
      <c r="I329" s="102">
        <f>F329*AP329</f>
        <v>0</v>
      </c>
      <c r="J329" s="102">
        <f>F329*G329</f>
        <v>0</v>
      </c>
      <c r="K329" s="103" t="s">
        <v>406</v>
      </c>
      <c r="Z329" s="102">
        <f>IF(AQ329="5",BJ329,0)</f>
        <v>0</v>
      </c>
      <c r="AB329" s="102">
        <f>IF(AQ329="1",BH329,0)</f>
        <v>0</v>
      </c>
      <c r="AC329" s="102">
        <f>IF(AQ329="1",BI329,0)</f>
        <v>0</v>
      </c>
      <c r="AD329" s="102">
        <f>IF(AQ329="7",BH329,0)</f>
        <v>0</v>
      </c>
      <c r="AE329" s="102">
        <f>IF(AQ329="7",BI329,0)</f>
        <v>0</v>
      </c>
      <c r="AF329" s="102">
        <f>IF(AQ329="2",BH329,0)</f>
        <v>0</v>
      </c>
      <c r="AG329" s="102">
        <f>IF(AQ329="2",BI329,0)</f>
        <v>0</v>
      </c>
      <c r="AH329" s="102">
        <f>IF(AQ329="0",BJ329,0)</f>
        <v>0</v>
      </c>
      <c r="AI329" s="87" t="s">
        <v>566</v>
      </c>
      <c r="AJ329" s="102">
        <f>IF(AN329=0,J329,0)</f>
        <v>0</v>
      </c>
      <c r="AK329" s="102">
        <f>IF(AN329=12,J329,0)</f>
        <v>0</v>
      </c>
      <c r="AL329" s="102">
        <f>IF(AN329=21,J329,0)</f>
        <v>0</v>
      </c>
      <c r="AN329" s="102">
        <v>21</v>
      </c>
      <c r="AO329" s="102">
        <f>G329*0.0222935484447942</f>
        <v>0</v>
      </c>
      <c r="AP329" s="102">
        <f>G329*(1-0.0222935484447942)</f>
        <v>0</v>
      </c>
      <c r="AQ329" s="104" t="s">
        <v>829</v>
      </c>
      <c r="AV329" s="102">
        <f>AW329+AX329</f>
        <v>0</v>
      </c>
      <c r="AW329" s="102">
        <f>F329*AO329</f>
        <v>0</v>
      </c>
      <c r="AX329" s="102">
        <f>F329*AP329</f>
        <v>0</v>
      </c>
      <c r="AY329" s="104" t="s">
        <v>515</v>
      </c>
      <c r="AZ329" s="104" t="s">
        <v>114</v>
      </c>
      <c r="BA329" s="87" t="s">
        <v>870</v>
      </c>
      <c r="BC329" s="102">
        <f>AW329+AX329</f>
        <v>0</v>
      </c>
      <c r="BD329" s="102">
        <f>G329/(100-BE329)*100</f>
        <v>0</v>
      </c>
      <c r="BE329" s="102">
        <v>0</v>
      </c>
      <c r="BF329" s="102">
        <f>329</f>
        <v>329</v>
      </c>
      <c r="BH329" s="102">
        <f>F329*AO329</f>
        <v>0</v>
      </c>
      <c r="BI329" s="102">
        <f>F329*AP329</f>
        <v>0</v>
      </c>
      <c r="BJ329" s="102">
        <f>F329*G329</f>
        <v>0</v>
      </c>
      <c r="BK329" s="102"/>
      <c r="BL329" s="102">
        <v>95</v>
      </c>
      <c r="BW329" s="102">
        <v>21</v>
      </c>
    </row>
    <row r="330" spans="1:11" ht="25.5">
      <c r="A330" s="105"/>
      <c r="C330" s="106" t="s">
        <v>863</v>
      </c>
      <c r="D330" s="107" t="s">
        <v>771</v>
      </c>
      <c r="F330" s="108">
        <v>37.77</v>
      </c>
      <c r="G330" s="215"/>
      <c r="K330" s="109"/>
    </row>
    <row r="331" spans="1:75" ht="15">
      <c r="A331" s="23" t="s">
        <v>767</v>
      </c>
      <c r="B331" s="19" t="s">
        <v>346</v>
      </c>
      <c r="C331" s="135" t="s">
        <v>339</v>
      </c>
      <c r="D331" s="135"/>
      <c r="E331" s="19" t="s">
        <v>819</v>
      </c>
      <c r="F331" s="102">
        <f>'Stavební rozpočet'!F331</f>
        <v>100</v>
      </c>
      <c r="G331" s="214">
        <f>'Stavební rozpočet'!G331</f>
        <v>0</v>
      </c>
      <c r="H331" s="102">
        <f>F331*AO331</f>
        <v>0</v>
      </c>
      <c r="I331" s="102">
        <f>F331*AP331</f>
        <v>0</v>
      </c>
      <c r="J331" s="102">
        <f>F331*G331</f>
        <v>0</v>
      </c>
      <c r="K331" s="103" t="s">
        <v>406</v>
      </c>
      <c r="Z331" s="102">
        <f>IF(AQ331="5",BJ331,0)</f>
        <v>0</v>
      </c>
      <c r="AB331" s="102">
        <f>IF(AQ331="1",BH331,0)</f>
        <v>0</v>
      </c>
      <c r="AC331" s="102">
        <f>IF(AQ331="1",BI331,0)</f>
        <v>0</v>
      </c>
      <c r="AD331" s="102">
        <f>IF(AQ331="7",BH331,0)</f>
        <v>0</v>
      </c>
      <c r="AE331" s="102">
        <f>IF(AQ331="7",BI331,0)</f>
        <v>0</v>
      </c>
      <c r="AF331" s="102">
        <f>IF(AQ331="2",BH331,0)</f>
        <v>0</v>
      </c>
      <c r="AG331" s="102">
        <f>IF(AQ331="2",BI331,0)</f>
        <v>0</v>
      </c>
      <c r="AH331" s="102">
        <f>IF(AQ331="0",BJ331,0)</f>
        <v>0</v>
      </c>
      <c r="AI331" s="87" t="s">
        <v>566</v>
      </c>
      <c r="AJ331" s="102">
        <f>IF(AN331=0,J331,0)</f>
        <v>0</v>
      </c>
      <c r="AK331" s="102">
        <f>IF(AN331=12,J331,0)</f>
        <v>0</v>
      </c>
      <c r="AL331" s="102">
        <f>IF(AN331=21,J331,0)</f>
        <v>0</v>
      </c>
      <c r="AN331" s="102">
        <v>21</v>
      </c>
      <c r="AO331" s="102">
        <f>G331*0.0121003134796238</f>
        <v>0</v>
      </c>
      <c r="AP331" s="102">
        <f>G331*(1-0.0121003134796238)</f>
        <v>0</v>
      </c>
      <c r="AQ331" s="104" t="s">
        <v>829</v>
      </c>
      <c r="AV331" s="102">
        <f>AW331+AX331</f>
        <v>0</v>
      </c>
      <c r="AW331" s="102">
        <f>F331*AO331</f>
        <v>0</v>
      </c>
      <c r="AX331" s="102">
        <f>F331*AP331</f>
        <v>0</v>
      </c>
      <c r="AY331" s="104" t="s">
        <v>515</v>
      </c>
      <c r="AZ331" s="104" t="s">
        <v>114</v>
      </c>
      <c r="BA331" s="87" t="s">
        <v>870</v>
      </c>
      <c r="BC331" s="102">
        <f>AW331+AX331</f>
        <v>0</v>
      </c>
      <c r="BD331" s="102">
        <f>G331/(100-BE331)*100</f>
        <v>0</v>
      </c>
      <c r="BE331" s="102">
        <v>0</v>
      </c>
      <c r="BF331" s="102">
        <f>331</f>
        <v>331</v>
      </c>
      <c r="BH331" s="102">
        <f>F331*AO331</f>
        <v>0</v>
      </c>
      <c r="BI331" s="102">
        <f>F331*AP331</f>
        <v>0</v>
      </c>
      <c r="BJ331" s="102">
        <f>F331*G331</f>
        <v>0</v>
      </c>
      <c r="BK331" s="102"/>
      <c r="BL331" s="102">
        <v>95</v>
      </c>
      <c r="BW331" s="102">
        <v>21</v>
      </c>
    </row>
    <row r="332" spans="1:11" ht="15">
      <c r="A332" s="105"/>
      <c r="C332" s="106" t="s">
        <v>691</v>
      </c>
      <c r="D332" s="107" t="s">
        <v>577</v>
      </c>
      <c r="F332" s="108">
        <v>100.00000000000001</v>
      </c>
      <c r="G332" s="215"/>
      <c r="K332" s="109"/>
    </row>
    <row r="333" spans="1:75" ht="15">
      <c r="A333" s="23" t="s">
        <v>728</v>
      </c>
      <c r="B333" s="19" t="s">
        <v>511</v>
      </c>
      <c r="C333" s="135" t="s">
        <v>726</v>
      </c>
      <c r="D333" s="135"/>
      <c r="E333" s="19" t="s">
        <v>819</v>
      </c>
      <c r="F333" s="102">
        <f>'Stavební rozpočet'!F333</f>
        <v>100</v>
      </c>
      <c r="G333" s="214">
        <f>'Stavební rozpočet'!G333</f>
        <v>0</v>
      </c>
      <c r="H333" s="102">
        <f>F333*AO333</f>
        <v>0</v>
      </c>
      <c r="I333" s="102">
        <f>F333*AP333</f>
        <v>0</v>
      </c>
      <c r="J333" s="102">
        <f>F333*G333</f>
        <v>0</v>
      </c>
      <c r="K333" s="103" t="s">
        <v>406</v>
      </c>
      <c r="Z333" s="102">
        <f>IF(AQ333="5",BJ333,0)</f>
        <v>0</v>
      </c>
      <c r="AB333" s="102">
        <f>IF(AQ333="1",BH333,0)</f>
        <v>0</v>
      </c>
      <c r="AC333" s="102">
        <f>IF(AQ333="1",BI333,0)</f>
        <v>0</v>
      </c>
      <c r="AD333" s="102">
        <f>IF(AQ333="7",BH333,0)</f>
        <v>0</v>
      </c>
      <c r="AE333" s="102">
        <f>IF(AQ333="7",BI333,0)</f>
        <v>0</v>
      </c>
      <c r="AF333" s="102">
        <f>IF(AQ333="2",BH333,0)</f>
        <v>0</v>
      </c>
      <c r="AG333" s="102">
        <f>IF(AQ333="2",BI333,0)</f>
        <v>0</v>
      </c>
      <c r="AH333" s="102">
        <f>IF(AQ333="0",BJ333,0)</f>
        <v>0</v>
      </c>
      <c r="AI333" s="87" t="s">
        <v>566</v>
      </c>
      <c r="AJ333" s="102">
        <f>IF(AN333=0,J333,0)</f>
        <v>0</v>
      </c>
      <c r="AK333" s="102">
        <f>IF(AN333=12,J333,0)</f>
        <v>0</v>
      </c>
      <c r="AL333" s="102">
        <f>IF(AN333=21,J333,0)</f>
        <v>0</v>
      </c>
      <c r="AN333" s="102">
        <v>21</v>
      </c>
      <c r="AO333" s="102">
        <f>G333*0</f>
        <v>0</v>
      </c>
      <c r="AP333" s="102">
        <f>G333*(1-0)</f>
        <v>0</v>
      </c>
      <c r="AQ333" s="104" t="s">
        <v>829</v>
      </c>
      <c r="AV333" s="102">
        <f>AW333+AX333</f>
        <v>0</v>
      </c>
      <c r="AW333" s="102">
        <f>F333*AO333</f>
        <v>0</v>
      </c>
      <c r="AX333" s="102">
        <f>F333*AP333</f>
        <v>0</v>
      </c>
      <c r="AY333" s="104" t="s">
        <v>515</v>
      </c>
      <c r="AZ333" s="104" t="s">
        <v>114</v>
      </c>
      <c r="BA333" s="87" t="s">
        <v>870</v>
      </c>
      <c r="BC333" s="102">
        <f>AW333+AX333</f>
        <v>0</v>
      </c>
      <c r="BD333" s="102">
        <f>G333/(100-BE333)*100</f>
        <v>0</v>
      </c>
      <c r="BE333" s="102">
        <v>0</v>
      </c>
      <c r="BF333" s="102">
        <f>333</f>
        <v>333</v>
      </c>
      <c r="BH333" s="102">
        <f>F333*AO333</f>
        <v>0</v>
      </c>
      <c r="BI333" s="102">
        <f>F333*AP333</f>
        <v>0</v>
      </c>
      <c r="BJ333" s="102">
        <f>F333*G333</f>
        <v>0</v>
      </c>
      <c r="BK333" s="102"/>
      <c r="BL333" s="102">
        <v>95</v>
      </c>
      <c r="BW333" s="102">
        <v>21</v>
      </c>
    </row>
    <row r="334" spans="1:11" ht="15">
      <c r="A334" s="105"/>
      <c r="C334" s="106" t="s">
        <v>691</v>
      </c>
      <c r="D334" s="107" t="s">
        <v>577</v>
      </c>
      <c r="F334" s="108">
        <v>100.00000000000001</v>
      </c>
      <c r="G334" s="215"/>
      <c r="K334" s="109"/>
    </row>
    <row r="335" spans="1:47" ht="15">
      <c r="A335" s="99" t="s">
        <v>577</v>
      </c>
      <c r="B335" s="22" t="s">
        <v>480</v>
      </c>
      <c r="C335" s="201" t="s">
        <v>623</v>
      </c>
      <c r="D335" s="201"/>
      <c r="E335" s="100" t="s">
        <v>774</v>
      </c>
      <c r="F335" s="100" t="s">
        <v>774</v>
      </c>
      <c r="G335" s="100" t="s">
        <v>774</v>
      </c>
      <c r="H335" s="82">
        <f>SUM(H336:H339)</f>
        <v>0</v>
      </c>
      <c r="I335" s="82">
        <f>SUM(I336:I339)</f>
        <v>0</v>
      </c>
      <c r="J335" s="82">
        <f>SUM(J336:J339)</f>
        <v>0</v>
      </c>
      <c r="K335" s="101" t="s">
        <v>577</v>
      </c>
      <c r="AI335" s="87" t="s">
        <v>566</v>
      </c>
      <c r="AS335" s="82">
        <f>SUM(AJ336:AJ339)</f>
        <v>0</v>
      </c>
      <c r="AT335" s="82">
        <f>SUM(AK336:AK339)</f>
        <v>0</v>
      </c>
      <c r="AU335" s="82">
        <f>SUM(AL336:AL339)</f>
        <v>0</v>
      </c>
    </row>
    <row r="336" spans="1:75" ht="15">
      <c r="A336" s="23" t="s">
        <v>27</v>
      </c>
      <c r="B336" s="19" t="s">
        <v>479</v>
      </c>
      <c r="C336" s="135" t="s">
        <v>637</v>
      </c>
      <c r="D336" s="135"/>
      <c r="E336" s="19" t="s">
        <v>224</v>
      </c>
      <c r="F336" s="102">
        <f>'Stavební rozpočet'!F336</f>
        <v>10</v>
      </c>
      <c r="G336" s="214">
        <f>'Stavební rozpočet'!G336</f>
        <v>0</v>
      </c>
      <c r="H336" s="102">
        <f>F336*AO336</f>
        <v>0</v>
      </c>
      <c r="I336" s="102">
        <f>F336*AP336</f>
        <v>0</v>
      </c>
      <c r="J336" s="102">
        <f>F336*G336</f>
        <v>0</v>
      </c>
      <c r="K336" s="103" t="s">
        <v>406</v>
      </c>
      <c r="Z336" s="102">
        <f>IF(AQ336="5",BJ336,0)</f>
        <v>0</v>
      </c>
      <c r="AB336" s="102">
        <f>IF(AQ336="1",BH336,0)</f>
        <v>0</v>
      </c>
      <c r="AC336" s="102">
        <f>IF(AQ336="1",BI336,0)</f>
        <v>0</v>
      </c>
      <c r="AD336" s="102">
        <f>IF(AQ336="7",BH336,0)</f>
        <v>0</v>
      </c>
      <c r="AE336" s="102">
        <f>IF(AQ336="7",BI336,0)</f>
        <v>0</v>
      </c>
      <c r="AF336" s="102">
        <f>IF(AQ336="2",BH336,0)</f>
        <v>0</v>
      </c>
      <c r="AG336" s="102">
        <f>IF(AQ336="2",BI336,0)</f>
        <v>0</v>
      </c>
      <c r="AH336" s="102">
        <f>IF(AQ336="0",BJ336,0)</f>
        <v>0</v>
      </c>
      <c r="AI336" s="87" t="s">
        <v>566</v>
      </c>
      <c r="AJ336" s="102">
        <f>IF(AN336=0,J336,0)</f>
        <v>0</v>
      </c>
      <c r="AK336" s="102">
        <f>IF(AN336=12,J336,0)</f>
        <v>0</v>
      </c>
      <c r="AL336" s="102">
        <f>IF(AN336=21,J336,0)</f>
        <v>0</v>
      </c>
      <c r="AN336" s="102">
        <v>21</v>
      </c>
      <c r="AO336" s="102">
        <f>G336*0.0811168384879725</f>
        <v>0</v>
      </c>
      <c r="AP336" s="102">
        <f>G336*(1-0.0811168384879725)</f>
        <v>0</v>
      </c>
      <c r="AQ336" s="104" t="s">
        <v>829</v>
      </c>
      <c r="AV336" s="102">
        <f>AW336+AX336</f>
        <v>0</v>
      </c>
      <c r="AW336" s="102">
        <f>F336*AO336</f>
        <v>0</v>
      </c>
      <c r="AX336" s="102">
        <f>F336*AP336</f>
        <v>0</v>
      </c>
      <c r="AY336" s="104" t="s">
        <v>735</v>
      </c>
      <c r="AZ336" s="104" t="s">
        <v>114</v>
      </c>
      <c r="BA336" s="87" t="s">
        <v>870</v>
      </c>
      <c r="BC336" s="102">
        <f>AW336+AX336</f>
        <v>0</v>
      </c>
      <c r="BD336" s="102">
        <f>G336/(100-BE336)*100</f>
        <v>0</v>
      </c>
      <c r="BE336" s="102">
        <v>0</v>
      </c>
      <c r="BF336" s="102">
        <f>336</f>
        <v>336</v>
      </c>
      <c r="BH336" s="102">
        <f>F336*AO336</f>
        <v>0</v>
      </c>
      <c r="BI336" s="102">
        <f>F336*AP336</f>
        <v>0</v>
      </c>
      <c r="BJ336" s="102">
        <f>F336*G336</f>
        <v>0</v>
      </c>
      <c r="BK336" s="102"/>
      <c r="BL336" s="102">
        <v>96</v>
      </c>
      <c r="BW336" s="102">
        <v>21</v>
      </c>
    </row>
    <row r="337" spans="1:11" ht="15">
      <c r="A337" s="105"/>
      <c r="C337" s="106" t="s">
        <v>565</v>
      </c>
      <c r="D337" s="107" t="s">
        <v>577</v>
      </c>
      <c r="F337" s="108">
        <v>0</v>
      </c>
      <c r="G337" s="215"/>
      <c r="K337" s="109"/>
    </row>
    <row r="338" spans="1:11" ht="25.5">
      <c r="A338" s="105"/>
      <c r="C338" s="106" t="s">
        <v>493</v>
      </c>
      <c r="D338" s="107" t="s">
        <v>813</v>
      </c>
      <c r="F338" s="108">
        <v>10</v>
      </c>
      <c r="G338" s="215"/>
      <c r="K338" s="109"/>
    </row>
    <row r="339" spans="1:75" ht="15">
      <c r="A339" s="23" t="s">
        <v>358</v>
      </c>
      <c r="B339" s="19" t="s">
        <v>903</v>
      </c>
      <c r="C339" s="135" t="s">
        <v>490</v>
      </c>
      <c r="D339" s="135"/>
      <c r="E339" s="19" t="s">
        <v>807</v>
      </c>
      <c r="F339" s="102">
        <f>'Stavební rozpočet'!F339</f>
        <v>19.98</v>
      </c>
      <c r="G339" s="214">
        <f>'Stavební rozpočet'!G339</f>
        <v>0</v>
      </c>
      <c r="H339" s="102">
        <f>F339*AO339</f>
        <v>0</v>
      </c>
      <c r="I339" s="102">
        <f>F339*AP339</f>
        <v>0</v>
      </c>
      <c r="J339" s="102">
        <f>F339*G339</f>
        <v>0</v>
      </c>
      <c r="K339" s="103" t="s">
        <v>406</v>
      </c>
      <c r="Z339" s="102">
        <f>IF(AQ339="5",BJ339,0)</f>
        <v>0</v>
      </c>
      <c r="AB339" s="102">
        <f>IF(AQ339="1",BH339,0)</f>
        <v>0</v>
      </c>
      <c r="AC339" s="102">
        <f>IF(AQ339="1",BI339,0)</f>
        <v>0</v>
      </c>
      <c r="AD339" s="102">
        <f>IF(AQ339="7",BH339,0)</f>
        <v>0</v>
      </c>
      <c r="AE339" s="102">
        <f>IF(AQ339="7",BI339,0)</f>
        <v>0</v>
      </c>
      <c r="AF339" s="102">
        <f>IF(AQ339="2",BH339,0)</f>
        <v>0</v>
      </c>
      <c r="AG339" s="102">
        <f>IF(AQ339="2",BI339,0)</f>
        <v>0</v>
      </c>
      <c r="AH339" s="102">
        <f>IF(AQ339="0",BJ339,0)</f>
        <v>0</v>
      </c>
      <c r="AI339" s="87" t="s">
        <v>566</v>
      </c>
      <c r="AJ339" s="102">
        <f>IF(AN339=0,J339,0)</f>
        <v>0</v>
      </c>
      <c r="AK339" s="102">
        <f>IF(AN339=12,J339,0)</f>
        <v>0</v>
      </c>
      <c r="AL339" s="102">
        <f>IF(AN339=21,J339,0)</f>
        <v>0</v>
      </c>
      <c r="AN339" s="102">
        <v>21</v>
      </c>
      <c r="AO339" s="102">
        <f>G339*0.0392526315789474</f>
        <v>0</v>
      </c>
      <c r="AP339" s="102">
        <f>G339*(1-0.0392526315789474)</f>
        <v>0</v>
      </c>
      <c r="AQ339" s="104" t="s">
        <v>829</v>
      </c>
      <c r="AV339" s="102">
        <f>AW339+AX339</f>
        <v>0</v>
      </c>
      <c r="AW339" s="102">
        <f>F339*AO339</f>
        <v>0</v>
      </c>
      <c r="AX339" s="102">
        <f>F339*AP339</f>
        <v>0</v>
      </c>
      <c r="AY339" s="104" t="s">
        <v>735</v>
      </c>
      <c r="AZ339" s="104" t="s">
        <v>114</v>
      </c>
      <c r="BA339" s="87" t="s">
        <v>870</v>
      </c>
      <c r="BC339" s="102">
        <f>AW339+AX339</f>
        <v>0</v>
      </c>
      <c r="BD339" s="102">
        <f>G339/(100-BE339)*100</f>
        <v>0</v>
      </c>
      <c r="BE339" s="102">
        <v>0</v>
      </c>
      <c r="BF339" s="102">
        <f>339</f>
        <v>339</v>
      </c>
      <c r="BH339" s="102">
        <f>F339*AO339</f>
        <v>0</v>
      </c>
      <c r="BI339" s="102">
        <f>F339*AP339</f>
        <v>0</v>
      </c>
      <c r="BJ339" s="102">
        <f>F339*G339</f>
        <v>0</v>
      </c>
      <c r="BK339" s="102"/>
      <c r="BL339" s="102">
        <v>96</v>
      </c>
      <c r="BW339" s="102">
        <v>21</v>
      </c>
    </row>
    <row r="340" spans="1:11" ht="25.5">
      <c r="A340" s="105"/>
      <c r="C340" s="106" t="s">
        <v>142</v>
      </c>
      <c r="D340" s="107" t="s">
        <v>121</v>
      </c>
      <c r="F340" s="108">
        <v>6.670000000000001</v>
      </c>
      <c r="G340" s="215"/>
      <c r="K340" s="109"/>
    </row>
    <row r="341" spans="1:11" ht="25.5">
      <c r="A341" s="105"/>
      <c r="C341" s="106" t="s">
        <v>712</v>
      </c>
      <c r="D341" s="107" t="s">
        <v>467</v>
      </c>
      <c r="F341" s="108">
        <v>1.4300000000000002</v>
      </c>
      <c r="G341" s="215"/>
      <c r="K341" s="109"/>
    </row>
    <row r="342" spans="1:11" ht="25.5">
      <c r="A342" s="105"/>
      <c r="C342" s="106" t="s">
        <v>563</v>
      </c>
      <c r="D342" s="107" t="s">
        <v>323</v>
      </c>
      <c r="F342" s="108">
        <v>11.88</v>
      </c>
      <c r="G342" s="215"/>
      <c r="K342" s="109"/>
    </row>
    <row r="343" spans="1:47" ht="15">
      <c r="A343" s="99" t="s">
        <v>577</v>
      </c>
      <c r="B343" s="22" t="s">
        <v>109</v>
      </c>
      <c r="C343" s="201" t="s">
        <v>917</v>
      </c>
      <c r="D343" s="201"/>
      <c r="E343" s="100" t="s">
        <v>774</v>
      </c>
      <c r="F343" s="100" t="s">
        <v>774</v>
      </c>
      <c r="G343" s="100" t="s">
        <v>774</v>
      </c>
      <c r="H343" s="82">
        <f>SUM(H344:H347)</f>
        <v>0</v>
      </c>
      <c r="I343" s="82">
        <f>SUM(I344:I347)</f>
        <v>0</v>
      </c>
      <c r="J343" s="82">
        <f>SUM(J344:J347)</f>
        <v>0</v>
      </c>
      <c r="K343" s="101" t="s">
        <v>577</v>
      </c>
      <c r="AI343" s="87" t="s">
        <v>566</v>
      </c>
      <c r="AS343" s="82">
        <f>SUM(AJ344:AJ347)</f>
        <v>0</v>
      </c>
      <c r="AT343" s="82">
        <f>SUM(AK344:AK347)</f>
        <v>0</v>
      </c>
      <c r="AU343" s="82">
        <f>SUM(AL344:AL347)</f>
        <v>0</v>
      </c>
    </row>
    <row r="344" spans="1:75" ht="15">
      <c r="A344" s="23" t="s">
        <v>124</v>
      </c>
      <c r="B344" s="19" t="s">
        <v>837</v>
      </c>
      <c r="C344" s="135" t="s">
        <v>856</v>
      </c>
      <c r="D344" s="135"/>
      <c r="E344" s="19" t="s">
        <v>819</v>
      </c>
      <c r="F344" s="102">
        <f>'Stavební rozpočet'!F344</f>
        <v>10</v>
      </c>
      <c r="G344" s="214">
        <f>'Stavební rozpočet'!G344</f>
        <v>0</v>
      </c>
      <c r="H344" s="102">
        <f>F344*AO344</f>
        <v>0</v>
      </c>
      <c r="I344" s="102">
        <f>F344*AP344</f>
        <v>0</v>
      </c>
      <c r="J344" s="102">
        <f>F344*G344</f>
        <v>0</v>
      </c>
      <c r="K344" s="103" t="s">
        <v>406</v>
      </c>
      <c r="Z344" s="102">
        <f>IF(AQ344="5",BJ344,0)</f>
        <v>0</v>
      </c>
      <c r="AB344" s="102">
        <f>IF(AQ344="1",BH344,0)</f>
        <v>0</v>
      </c>
      <c r="AC344" s="102">
        <f>IF(AQ344="1",BI344,0)</f>
        <v>0</v>
      </c>
      <c r="AD344" s="102">
        <f>IF(AQ344="7",BH344,0)</f>
        <v>0</v>
      </c>
      <c r="AE344" s="102">
        <f>IF(AQ344="7",BI344,0)</f>
        <v>0</v>
      </c>
      <c r="AF344" s="102">
        <f>IF(AQ344="2",BH344,0)</f>
        <v>0</v>
      </c>
      <c r="AG344" s="102">
        <f>IF(AQ344="2",BI344,0)</f>
        <v>0</v>
      </c>
      <c r="AH344" s="102">
        <f>IF(AQ344="0",BJ344,0)</f>
        <v>0</v>
      </c>
      <c r="AI344" s="87" t="s">
        <v>566</v>
      </c>
      <c r="AJ344" s="102">
        <f>IF(AN344=0,J344,0)</f>
        <v>0</v>
      </c>
      <c r="AK344" s="102">
        <f>IF(AN344=12,J344,0)</f>
        <v>0</v>
      </c>
      <c r="AL344" s="102">
        <f>IF(AN344=21,J344,0)</f>
        <v>0</v>
      </c>
      <c r="AN344" s="102">
        <v>21</v>
      </c>
      <c r="AO344" s="102">
        <f>G344*0</f>
        <v>0</v>
      </c>
      <c r="AP344" s="102">
        <f>G344*(1-0)</f>
        <v>0</v>
      </c>
      <c r="AQ344" s="104" t="s">
        <v>829</v>
      </c>
      <c r="AV344" s="102">
        <f>AW344+AX344</f>
        <v>0</v>
      </c>
      <c r="AW344" s="102">
        <f>F344*AO344</f>
        <v>0</v>
      </c>
      <c r="AX344" s="102">
        <f>F344*AP344</f>
        <v>0</v>
      </c>
      <c r="AY344" s="104" t="s">
        <v>292</v>
      </c>
      <c r="AZ344" s="104" t="s">
        <v>114</v>
      </c>
      <c r="BA344" s="87" t="s">
        <v>870</v>
      </c>
      <c r="BC344" s="102">
        <f>AW344+AX344</f>
        <v>0</v>
      </c>
      <c r="BD344" s="102">
        <f>G344/(100-BE344)*100</f>
        <v>0</v>
      </c>
      <c r="BE344" s="102">
        <v>0</v>
      </c>
      <c r="BF344" s="102">
        <f>344</f>
        <v>344</v>
      </c>
      <c r="BH344" s="102">
        <f>F344*AO344</f>
        <v>0</v>
      </c>
      <c r="BI344" s="102">
        <f>F344*AP344</f>
        <v>0</v>
      </c>
      <c r="BJ344" s="102">
        <f>F344*G344</f>
        <v>0</v>
      </c>
      <c r="BK344" s="102"/>
      <c r="BL344" s="102">
        <v>97</v>
      </c>
      <c r="BW344" s="102">
        <v>21</v>
      </c>
    </row>
    <row r="345" spans="1:11" ht="25.5">
      <c r="A345" s="105"/>
      <c r="C345" s="106" t="s">
        <v>128</v>
      </c>
      <c r="D345" s="107" t="s">
        <v>577</v>
      </c>
      <c r="F345" s="108">
        <v>0</v>
      </c>
      <c r="G345" s="215"/>
      <c r="K345" s="109"/>
    </row>
    <row r="346" spans="1:11" ht="15">
      <c r="A346" s="105"/>
      <c r="C346" s="106" t="s">
        <v>493</v>
      </c>
      <c r="D346" s="107" t="s">
        <v>867</v>
      </c>
      <c r="F346" s="108">
        <v>10</v>
      </c>
      <c r="G346" s="215"/>
      <c r="K346" s="109"/>
    </row>
    <row r="347" spans="1:75" ht="15">
      <c r="A347" s="23" t="s">
        <v>910</v>
      </c>
      <c r="B347" s="19" t="s">
        <v>276</v>
      </c>
      <c r="C347" s="135" t="s">
        <v>716</v>
      </c>
      <c r="D347" s="135"/>
      <c r="E347" s="19" t="s">
        <v>819</v>
      </c>
      <c r="F347" s="102">
        <f>'Stavební rozpočet'!F347</f>
        <v>10</v>
      </c>
      <c r="G347" s="214">
        <f>'Stavební rozpočet'!G347</f>
        <v>0</v>
      </c>
      <c r="H347" s="102">
        <f>F347*AO347</f>
        <v>0</v>
      </c>
      <c r="I347" s="102">
        <f>F347*AP347</f>
        <v>0</v>
      </c>
      <c r="J347" s="102">
        <f>F347*G347</f>
        <v>0</v>
      </c>
      <c r="K347" s="103" t="s">
        <v>577</v>
      </c>
      <c r="Z347" s="102">
        <f>IF(AQ347="5",BJ347,0)</f>
        <v>0</v>
      </c>
      <c r="AB347" s="102">
        <f>IF(AQ347="1",BH347,0)</f>
        <v>0</v>
      </c>
      <c r="AC347" s="102">
        <f>IF(AQ347="1",BI347,0)</f>
        <v>0</v>
      </c>
      <c r="AD347" s="102">
        <f>IF(AQ347="7",BH347,0)</f>
        <v>0</v>
      </c>
      <c r="AE347" s="102">
        <f>IF(AQ347="7",BI347,0)</f>
        <v>0</v>
      </c>
      <c r="AF347" s="102">
        <f>IF(AQ347="2",BH347,0)</f>
        <v>0</v>
      </c>
      <c r="AG347" s="102">
        <f>IF(AQ347="2",BI347,0)</f>
        <v>0</v>
      </c>
      <c r="AH347" s="102">
        <f>IF(AQ347="0",BJ347,0)</f>
        <v>0</v>
      </c>
      <c r="AI347" s="87" t="s">
        <v>566</v>
      </c>
      <c r="AJ347" s="102">
        <f>IF(AN347=0,J347,0)</f>
        <v>0</v>
      </c>
      <c r="AK347" s="102">
        <f>IF(AN347=12,J347,0)</f>
        <v>0</v>
      </c>
      <c r="AL347" s="102">
        <f>IF(AN347=21,J347,0)</f>
        <v>0</v>
      </c>
      <c r="AN347" s="102">
        <v>21</v>
      </c>
      <c r="AO347" s="102">
        <f>G347*0</f>
        <v>0</v>
      </c>
      <c r="AP347" s="102">
        <f>G347*(1-0)</f>
        <v>0</v>
      </c>
      <c r="AQ347" s="104" t="s">
        <v>829</v>
      </c>
      <c r="AV347" s="102">
        <f>AW347+AX347</f>
        <v>0</v>
      </c>
      <c r="AW347" s="102">
        <f>F347*AO347</f>
        <v>0</v>
      </c>
      <c r="AX347" s="102">
        <f>F347*AP347</f>
        <v>0</v>
      </c>
      <c r="AY347" s="104" t="s">
        <v>292</v>
      </c>
      <c r="AZ347" s="104" t="s">
        <v>114</v>
      </c>
      <c r="BA347" s="87" t="s">
        <v>870</v>
      </c>
      <c r="BC347" s="102">
        <f>AW347+AX347</f>
        <v>0</v>
      </c>
      <c r="BD347" s="102">
        <f>G347/(100-BE347)*100</f>
        <v>0</v>
      </c>
      <c r="BE347" s="102">
        <v>0</v>
      </c>
      <c r="BF347" s="102">
        <f>347</f>
        <v>347</v>
      </c>
      <c r="BH347" s="102">
        <f>F347*AO347</f>
        <v>0</v>
      </c>
      <c r="BI347" s="102">
        <f>F347*AP347</f>
        <v>0</v>
      </c>
      <c r="BJ347" s="102">
        <f>F347*G347</f>
        <v>0</v>
      </c>
      <c r="BK347" s="102"/>
      <c r="BL347" s="102">
        <v>97</v>
      </c>
      <c r="BW347" s="102">
        <v>21</v>
      </c>
    </row>
    <row r="348" spans="1:11" ht="15">
      <c r="A348" s="105"/>
      <c r="C348" s="106" t="s">
        <v>177</v>
      </c>
      <c r="D348" s="107" t="s">
        <v>577</v>
      </c>
      <c r="F348" s="108">
        <v>0</v>
      </c>
      <c r="G348" s="215"/>
      <c r="K348" s="109"/>
    </row>
    <row r="349" spans="1:11" ht="15">
      <c r="A349" s="105"/>
      <c r="C349" s="106" t="s">
        <v>493</v>
      </c>
      <c r="D349" s="107" t="s">
        <v>867</v>
      </c>
      <c r="F349" s="108">
        <v>10</v>
      </c>
      <c r="G349" s="215"/>
      <c r="K349" s="109"/>
    </row>
    <row r="350" spans="1:47" ht="15">
      <c r="A350" s="99" t="s">
        <v>577</v>
      </c>
      <c r="B350" s="22" t="s">
        <v>544</v>
      </c>
      <c r="C350" s="201" t="s">
        <v>513</v>
      </c>
      <c r="D350" s="201"/>
      <c r="E350" s="100" t="s">
        <v>774</v>
      </c>
      <c r="F350" s="100" t="s">
        <v>774</v>
      </c>
      <c r="G350" s="100" t="s">
        <v>774</v>
      </c>
      <c r="H350" s="82">
        <f>SUM(H351:H351)</f>
        <v>0</v>
      </c>
      <c r="I350" s="82">
        <f>SUM(I351:I351)</f>
        <v>0</v>
      </c>
      <c r="J350" s="82">
        <f>SUM(J351:J351)</f>
        <v>0</v>
      </c>
      <c r="K350" s="101" t="s">
        <v>577</v>
      </c>
      <c r="AI350" s="87" t="s">
        <v>566</v>
      </c>
      <c r="AS350" s="82">
        <f>SUM(AJ351:AJ351)</f>
        <v>0</v>
      </c>
      <c r="AT350" s="82">
        <f>SUM(AK351:AK351)</f>
        <v>0</v>
      </c>
      <c r="AU350" s="82">
        <f>SUM(AL351:AL351)</f>
        <v>0</v>
      </c>
    </row>
    <row r="351" spans="1:75" ht="15">
      <c r="A351" s="23" t="s">
        <v>424</v>
      </c>
      <c r="B351" s="19" t="s">
        <v>568</v>
      </c>
      <c r="C351" s="135" t="s">
        <v>877</v>
      </c>
      <c r="D351" s="135"/>
      <c r="E351" s="19" t="s">
        <v>415</v>
      </c>
      <c r="F351" s="102">
        <f>'Stavební rozpočet'!F351</f>
        <v>39.11</v>
      </c>
      <c r="G351" s="214">
        <f>'Stavební rozpočet'!G351</f>
        <v>0</v>
      </c>
      <c r="H351" s="102">
        <f>F351*AO351</f>
        <v>0</v>
      </c>
      <c r="I351" s="102">
        <f>F351*AP351</f>
        <v>0</v>
      </c>
      <c r="J351" s="102">
        <f>F351*G351</f>
        <v>0</v>
      </c>
      <c r="K351" s="103" t="s">
        <v>406</v>
      </c>
      <c r="Z351" s="102">
        <f>IF(AQ351="5",BJ351,0)</f>
        <v>0</v>
      </c>
      <c r="AB351" s="102">
        <f>IF(AQ351="1",BH351,0)</f>
        <v>0</v>
      </c>
      <c r="AC351" s="102">
        <f>IF(AQ351="1",BI351,0)</f>
        <v>0</v>
      </c>
      <c r="AD351" s="102">
        <f>IF(AQ351="7",BH351,0)</f>
        <v>0</v>
      </c>
      <c r="AE351" s="102">
        <f>IF(AQ351="7",BI351,0)</f>
        <v>0</v>
      </c>
      <c r="AF351" s="102">
        <f>IF(AQ351="2",BH351,0)</f>
        <v>0</v>
      </c>
      <c r="AG351" s="102">
        <f>IF(AQ351="2",BI351,0)</f>
        <v>0</v>
      </c>
      <c r="AH351" s="102">
        <f>IF(AQ351="0",BJ351,0)</f>
        <v>0</v>
      </c>
      <c r="AI351" s="87" t="s">
        <v>566</v>
      </c>
      <c r="AJ351" s="102">
        <f>IF(AN351=0,J351,0)</f>
        <v>0</v>
      </c>
      <c r="AK351" s="102">
        <f>IF(AN351=12,J351,0)</f>
        <v>0</v>
      </c>
      <c r="AL351" s="102">
        <f>IF(AN351=21,J351,0)</f>
        <v>0</v>
      </c>
      <c r="AN351" s="102">
        <v>21</v>
      </c>
      <c r="AO351" s="102">
        <f>G351*0</f>
        <v>0</v>
      </c>
      <c r="AP351" s="102">
        <f>G351*(1-0)</f>
        <v>0</v>
      </c>
      <c r="AQ351" s="104" t="s">
        <v>461</v>
      </c>
      <c r="AV351" s="102">
        <f>AW351+AX351</f>
        <v>0</v>
      </c>
      <c r="AW351" s="102">
        <f>F351*AO351</f>
        <v>0</v>
      </c>
      <c r="AX351" s="102">
        <f>F351*AP351</f>
        <v>0</v>
      </c>
      <c r="AY351" s="104" t="s">
        <v>849</v>
      </c>
      <c r="AZ351" s="104" t="s">
        <v>114</v>
      </c>
      <c r="BA351" s="87" t="s">
        <v>870</v>
      </c>
      <c r="BC351" s="102">
        <f>AW351+AX351</f>
        <v>0</v>
      </c>
      <c r="BD351" s="102">
        <f>G351/(100-BE351)*100</f>
        <v>0</v>
      </c>
      <c r="BE351" s="102">
        <v>0</v>
      </c>
      <c r="BF351" s="102">
        <f>351</f>
        <v>351</v>
      </c>
      <c r="BH351" s="102">
        <f>F351*AO351</f>
        <v>0</v>
      </c>
      <c r="BI351" s="102">
        <f>F351*AP351</f>
        <v>0</v>
      </c>
      <c r="BJ351" s="102">
        <f>F351*G351</f>
        <v>0</v>
      </c>
      <c r="BK351" s="102"/>
      <c r="BL351" s="102"/>
      <c r="BW351" s="102">
        <v>21</v>
      </c>
    </row>
    <row r="352" spans="1:47" ht="15">
      <c r="A352" s="99" t="s">
        <v>577</v>
      </c>
      <c r="B352" s="22" t="s">
        <v>145</v>
      </c>
      <c r="C352" s="201" t="s">
        <v>643</v>
      </c>
      <c r="D352" s="201"/>
      <c r="E352" s="100" t="s">
        <v>774</v>
      </c>
      <c r="F352" s="100" t="s">
        <v>774</v>
      </c>
      <c r="G352" s="100" t="s">
        <v>774</v>
      </c>
      <c r="H352" s="82">
        <f>SUM(H353:H355)</f>
        <v>0</v>
      </c>
      <c r="I352" s="82">
        <f>SUM(I353:I355)</f>
        <v>0</v>
      </c>
      <c r="J352" s="82">
        <f>SUM(J353:J355)</f>
        <v>0</v>
      </c>
      <c r="K352" s="101" t="s">
        <v>577</v>
      </c>
      <c r="AI352" s="87" t="s">
        <v>566</v>
      </c>
      <c r="AS352" s="82">
        <f>SUM(AJ353:AJ355)</f>
        <v>0</v>
      </c>
      <c r="AT352" s="82">
        <f>SUM(AK353:AK355)</f>
        <v>0</v>
      </c>
      <c r="AU352" s="82">
        <f>SUM(AL353:AL355)</f>
        <v>0</v>
      </c>
    </row>
    <row r="353" spans="1:75" ht="15">
      <c r="A353" s="23" t="s">
        <v>692</v>
      </c>
      <c r="B353" s="19" t="s">
        <v>645</v>
      </c>
      <c r="C353" s="135" t="s">
        <v>298</v>
      </c>
      <c r="D353" s="135"/>
      <c r="E353" s="19" t="s">
        <v>224</v>
      </c>
      <c r="F353" s="102">
        <f>'Stavební rozpočet'!F353</f>
        <v>1</v>
      </c>
      <c r="G353" s="214">
        <f>'Stavební rozpočet'!G353</f>
        <v>0</v>
      </c>
      <c r="H353" s="102">
        <f>F353*AO353</f>
        <v>0</v>
      </c>
      <c r="I353" s="102">
        <f>F353*AP353</f>
        <v>0</v>
      </c>
      <c r="J353" s="102">
        <f>F353*G353</f>
        <v>0</v>
      </c>
      <c r="K353" s="103" t="s">
        <v>406</v>
      </c>
      <c r="Z353" s="102">
        <f>IF(AQ353="5",BJ353,0)</f>
        <v>0</v>
      </c>
      <c r="AB353" s="102">
        <f>IF(AQ353="1",BH353,0)</f>
        <v>0</v>
      </c>
      <c r="AC353" s="102">
        <f>IF(AQ353="1",BI353,0)</f>
        <v>0</v>
      </c>
      <c r="AD353" s="102">
        <f>IF(AQ353="7",BH353,0)</f>
        <v>0</v>
      </c>
      <c r="AE353" s="102">
        <f>IF(AQ353="7",BI353,0)</f>
        <v>0</v>
      </c>
      <c r="AF353" s="102">
        <f>IF(AQ353="2",BH353,0)</f>
        <v>0</v>
      </c>
      <c r="AG353" s="102">
        <f>IF(AQ353="2",BI353,0)</f>
        <v>0</v>
      </c>
      <c r="AH353" s="102">
        <f>IF(AQ353="0",BJ353,0)</f>
        <v>0</v>
      </c>
      <c r="AI353" s="87" t="s">
        <v>566</v>
      </c>
      <c r="AJ353" s="102">
        <f>IF(AN353=0,J353,0)</f>
        <v>0</v>
      </c>
      <c r="AK353" s="102">
        <f>IF(AN353=12,J353,0)</f>
        <v>0</v>
      </c>
      <c r="AL353" s="102">
        <f>IF(AN353=21,J353,0)</f>
        <v>0</v>
      </c>
      <c r="AN353" s="102">
        <v>21</v>
      </c>
      <c r="AO353" s="102">
        <f>G353*0</f>
        <v>0</v>
      </c>
      <c r="AP353" s="102">
        <f>G353*(1-0)</f>
        <v>0</v>
      </c>
      <c r="AQ353" s="104" t="s">
        <v>574</v>
      </c>
      <c r="AV353" s="102">
        <f>AW353+AX353</f>
        <v>0</v>
      </c>
      <c r="AW353" s="102">
        <f>F353*AO353</f>
        <v>0</v>
      </c>
      <c r="AX353" s="102">
        <f>F353*AP353</f>
        <v>0</v>
      </c>
      <c r="AY353" s="104" t="s">
        <v>861</v>
      </c>
      <c r="AZ353" s="104" t="s">
        <v>114</v>
      </c>
      <c r="BA353" s="87" t="s">
        <v>870</v>
      </c>
      <c r="BC353" s="102">
        <f>AW353+AX353</f>
        <v>0</v>
      </c>
      <c r="BD353" s="102">
        <f>G353/(100-BE353)*100</f>
        <v>0</v>
      </c>
      <c r="BE353" s="102">
        <v>0</v>
      </c>
      <c r="BF353" s="102">
        <f>353</f>
        <v>353</v>
      </c>
      <c r="BH353" s="102">
        <f>F353*AO353</f>
        <v>0</v>
      </c>
      <c r="BI353" s="102">
        <f>F353*AP353</f>
        <v>0</v>
      </c>
      <c r="BJ353" s="102">
        <f>F353*G353</f>
        <v>0</v>
      </c>
      <c r="BK353" s="102"/>
      <c r="BL353" s="102"/>
      <c r="BW353" s="102">
        <v>21</v>
      </c>
    </row>
    <row r="354" spans="1:11" ht="15">
      <c r="A354" s="105"/>
      <c r="C354" s="106" t="s">
        <v>829</v>
      </c>
      <c r="D354" s="107" t="s">
        <v>577</v>
      </c>
      <c r="F354" s="108">
        <v>1</v>
      </c>
      <c r="G354" s="215"/>
      <c r="K354" s="109"/>
    </row>
    <row r="355" spans="1:75" ht="15">
      <c r="A355" s="23" t="s">
        <v>414</v>
      </c>
      <c r="B355" s="19" t="s">
        <v>719</v>
      </c>
      <c r="C355" s="135" t="s">
        <v>662</v>
      </c>
      <c r="D355" s="135"/>
      <c r="E355" s="19" t="s">
        <v>224</v>
      </c>
      <c r="F355" s="102">
        <f>'Stavební rozpočet'!F355</f>
        <v>1</v>
      </c>
      <c r="G355" s="214">
        <f>'Stavební rozpočet'!G355</f>
        <v>0</v>
      </c>
      <c r="H355" s="102">
        <f>F355*AO355</f>
        <v>0</v>
      </c>
      <c r="I355" s="102">
        <f>F355*AP355</f>
        <v>0</v>
      </c>
      <c r="J355" s="102">
        <f>F355*G355</f>
        <v>0</v>
      </c>
      <c r="K355" s="103" t="s">
        <v>406</v>
      </c>
      <c r="Z355" s="102">
        <f>IF(AQ355="5",BJ355,0)</f>
        <v>0</v>
      </c>
      <c r="AB355" s="102">
        <f>IF(AQ355="1",BH355,0)</f>
        <v>0</v>
      </c>
      <c r="AC355" s="102">
        <f>IF(AQ355="1",BI355,0)</f>
        <v>0</v>
      </c>
      <c r="AD355" s="102">
        <f>IF(AQ355="7",BH355,0)</f>
        <v>0</v>
      </c>
      <c r="AE355" s="102">
        <f>IF(AQ355="7",BI355,0)</f>
        <v>0</v>
      </c>
      <c r="AF355" s="102">
        <f>IF(AQ355="2",BH355,0)</f>
        <v>0</v>
      </c>
      <c r="AG355" s="102">
        <f>IF(AQ355="2",BI355,0)</f>
        <v>0</v>
      </c>
      <c r="AH355" s="102">
        <f>IF(AQ355="0",BJ355,0)</f>
        <v>0</v>
      </c>
      <c r="AI355" s="87" t="s">
        <v>566</v>
      </c>
      <c r="AJ355" s="102">
        <f>IF(AN355=0,J355,0)</f>
        <v>0</v>
      </c>
      <c r="AK355" s="102">
        <f>IF(AN355=12,J355,0)</f>
        <v>0</v>
      </c>
      <c r="AL355" s="102">
        <f>IF(AN355=21,J355,0)</f>
        <v>0</v>
      </c>
      <c r="AN355" s="102">
        <v>21</v>
      </c>
      <c r="AO355" s="102">
        <f>G355*0</f>
        <v>0</v>
      </c>
      <c r="AP355" s="102">
        <f>G355*(1-0)</f>
        <v>0</v>
      </c>
      <c r="AQ355" s="104" t="s">
        <v>574</v>
      </c>
      <c r="AV355" s="102">
        <f>AW355+AX355</f>
        <v>0</v>
      </c>
      <c r="AW355" s="102">
        <f>F355*AO355</f>
        <v>0</v>
      </c>
      <c r="AX355" s="102">
        <f>F355*AP355</f>
        <v>0</v>
      </c>
      <c r="AY355" s="104" t="s">
        <v>861</v>
      </c>
      <c r="AZ355" s="104" t="s">
        <v>114</v>
      </c>
      <c r="BA355" s="87" t="s">
        <v>870</v>
      </c>
      <c r="BC355" s="102">
        <f>AW355+AX355</f>
        <v>0</v>
      </c>
      <c r="BD355" s="102">
        <f>G355/(100-BE355)*100</f>
        <v>0</v>
      </c>
      <c r="BE355" s="102">
        <v>0</v>
      </c>
      <c r="BF355" s="102">
        <f>355</f>
        <v>355</v>
      </c>
      <c r="BH355" s="102">
        <f>F355*AO355</f>
        <v>0</v>
      </c>
      <c r="BI355" s="102">
        <f>F355*AP355</f>
        <v>0</v>
      </c>
      <c r="BJ355" s="102">
        <f>F355*G355</f>
        <v>0</v>
      </c>
      <c r="BK355" s="102"/>
      <c r="BL355" s="102"/>
      <c r="BW355" s="102">
        <v>21</v>
      </c>
    </row>
    <row r="356" spans="1:11" ht="15">
      <c r="A356" s="105"/>
      <c r="C356" s="106" t="s">
        <v>829</v>
      </c>
      <c r="D356" s="107" t="s">
        <v>577</v>
      </c>
      <c r="F356" s="108">
        <v>1</v>
      </c>
      <c r="G356" s="215"/>
      <c r="K356" s="109"/>
    </row>
    <row r="357" spans="1:47" ht="15">
      <c r="A357" s="99" t="s">
        <v>577</v>
      </c>
      <c r="B357" s="22" t="s">
        <v>742</v>
      </c>
      <c r="C357" s="201" t="s">
        <v>273</v>
      </c>
      <c r="D357" s="201"/>
      <c r="E357" s="100" t="s">
        <v>774</v>
      </c>
      <c r="F357" s="100" t="s">
        <v>774</v>
      </c>
      <c r="G357" s="100" t="s">
        <v>774</v>
      </c>
      <c r="H357" s="82">
        <f>SUM(H358:H363)</f>
        <v>0</v>
      </c>
      <c r="I357" s="82">
        <f>SUM(I358:I363)</f>
        <v>0</v>
      </c>
      <c r="J357" s="82">
        <f>SUM(J358:J363)</f>
        <v>0</v>
      </c>
      <c r="K357" s="101" t="s">
        <v>577</v>
      </c>
      <c r="AI357" s="87" t="s">
        <v>566</v>
      </c>
      <c r="AS357" s="82">
        <f>SUM(AJ358:AJ363)</f>
        <v>0</v>
      </c>
      <c r="AT357" s="82">
        <f>SUM(AK358:AK363)</f>
        <v>0</v>
      </c>
      <c r="AU357" s="82">
        <f>SUM(AL358:AL363)</f>
        <v>0</v>
      </c>
    </row>
    <row r="358" spans="1:75" ht="25.5">
      <c r="A358" s="23" t="s">
        <v>539</v>
      </c>
      <c r="B358" s="19" t="s">
        <v>374</v>
      </c>
      <c r="C358" s="135" t="s">
        <v>313</v>
      </c>
      <c r="D358" s="135"/>
      <c r="E358" s="19" t="s">
        <v>321</v>
      </c>
      <c r="F358" s="102">
        <f>'Stavební rozpočet'!F358</f>
        <v>1</v>
      </c>
      <c r="G358" s="214">
        <f>'Stavební rozpočet'!G358</f>
        <v>0</v>
      </c>
      <c r="H358" s="102">
        <f>F358*AO358</f>
        <v>0</v>
      </c>
      <c r="I358" s="102">
        <f>F358*AP358</f>
        <v>0</v>
      </c>
      <c r="J358" s="102">
        <f>F358*G358</f>
        <v>0</v>
      </c>
      <c r="K358" s="103" t="s">
        <v>577</v>
      </c>
      <c r="Z358" s="102">
        <f>IF(AQ358="5",BJ358,0)</f>
        <v>0</v>
      </c>
      <c r="AB358" s="102">
        <f>IF(AQ358="1",BH358,0)</f>
        <v>0</v>
      </c>
      <c r="AC358" s="102">
        <f>IF(AQ358="1",BI358,0)</f>
        <v>0</v>
      </c>
      <c r="AD358" s="102">
        <f>IF(AQ358="7",BH358,0)</f>
        <v>0</v>
      </c>
      <c r="AE358" s="102">
        <f>IF(AQ358="7",BI358,0)</f>
        <v>0</v>
      </c>
      <c r="AF358" s="102">
        <f>IF(AQ358="2",BH358,0)</f>
        <v>0</v>
      </c>
      <c r="AG358" s="102">
        <f>IF(AQ358="2",BI358,0)</f>
        <v>0</v>
      </c>
      <c r="AH358" s="102">
        <f>IF(AQ358="0",BJ358,0)</f>
        <v>0</v>
      </c>
      <c r="AI358" s="87" t="s">
        <v>566</v>
      </c>
      <c r="AJ358" s="102">
        <f>IF(AN358=0,J358,0)</f>
        <v>0</v>
      </c>
      <c r="AK358" s="102">
        <f>IF(AN358=12,J358,0)</f>
        <v>0</v>
      </c>
      <c r="AL358" s="102">
        <f>IF(AN358=21,J358,0)</f>
        <v>0</v>
      </c>
      <c r="AN358" s="102">
        <v>21</v>
      </c>
      <c r="AO358" s="102">
        <f>G358*0</f>
        <v>0</v>
      </c>
      <c r="AP358" s="102">
        <f>G358*(1-0)</f>
        <v>0</v>
      </c>
      <c r="AQ358" s="104" t="s">
        <v>574</v>
      </c>
      <c r="AV358" s="102">
        <f>AW358+AX358</f>
        <v>0</v>
      </c>
      <c r="AW358" s="102">
        <f>F358*AO358</f>
        <v>0</v>
      </c>
      <c r="AX358" s="102">
        <f>F358*AP358</f>
        <v>0</v>
      </c>
      <c r="AY358" s="104" t="s">
        <v>892</v>
      </c>
      <c r="AZ358" s="104" t="s">
        <v>114</v>
      </c>
      <c r="BA358" s="87" t="s">
        <v>870</v>
      </c>
      <c r="BC358" s="102">
        <f>AW358+AX358</f>
        <v>0</v>
      </c>
      <c r="BD358" s="102">
        <f>G358/(100-BE358)*100</f>
        <v>0</v>
      </c>
      <c r="BE358" s="102">
        <v>0</v>
      </c>
      <c r="BF358" s="102">
        <f>358</f>
        <v>358</v>
      </c>
      <c r="BH358" s="102">
        <f>F358*AO358</f>
        <v>0</v>
      </c>
      <c r="BI358" s="102">
        <f>F358*AP358</f>
        <v>0</v>
      </c>
      <c r="BJ358" s="102">
        <f>F358*G358</f>
        <v>0</v>
      </c>
      <c r="BK358" s="102"/>
      <c r="BL358" s="102"/>
      <c r="BW358" s="102">
        <v>21</v>
      </c>
    </row>
    <row r="359" spans="1:11" ht="15">
      <c r="A359" s="105"/>
      <c r="C359" s="202" t="s">
        <v>531</v>
      </c>
      <c r="D359" s="202"/>
      <c r="E359" s="202"/>
      <c r="F359" s="202"/>
      <c r="G359" s="202"/>
      <c r="H359" s="202"/>
      <c r="I359" s="202"/>
      <c r="J359" s="202"/>
      <c r="K359" s="203"/>
    </row>
    <row r="360" spans="1:11" ht="15">
      <c r="A360" s="105"/>
      <c r="C360" s="106" t="s">
        <v>829</v>
      </c>
      <c r="D360" s="107" t="s">
        <v>577</v>
      </c>
      <c r="F360" s="108">
        <v>1</v>
      </c>
      <c r="G360" s="215"/>
      <c r="K360" s="109"/>
    </row>
    <row r="361" spans="1:75" ht="15">
      <c r="A361" s="23" t="s">
        <v>900</v>
      </c>
      <c r="B361" s="19" t="s">
        <v>150</v>
      </c>
      <c r="C361" s="135" t="s">
        <v>284</v>
      </c>
      <c r="D361" s="135"/>
      <c r="E361" s="19" t="s">
        <v>695</v>
      </c>
      <c r="F361" s="102">
        <f>'Stavební rozpočet'!F361</f>
        <v>50</v>
      </c>
      <c r="G361" s="214">
        <f>'Stavební rozpočet'!G361</f>
        <v>0</v>
      </c>
      <c r="H361" s="102">
        <f>F361*AO361</f>
        <v>0</v>
      </c>
      <c r="I361" s="102">
        <f>F361*AP361</f>
        <v>0</v>
      </c>
      <c r="J361" s="102">
        <f>F361*G361</f>
        <v>0</v>
      </c>
      <c r="K361" s="103" t="s">
        <v>577</v>
      </c>
      <c r="Z361" s="102">
        <f>IF(AQ361="5",BJ361,0)</f>
        <v>0</v>
      </c>
      <c r="AB361" s="102">
        <f>IF(AQ361="1",BH361,0)</f>
        <v>0</v>
      </c>
      <c r="AC361" s="102">
        <f>IF(AQ361="1",BI361,0)</f>
        <v>0</v>
      </c>
      <c r="AD361" s="102">
        <f>IF(AQ361="7",BH361,0)</f>
        <v>0</v>
      </c>
      <c r="AE361" s="102">
        <f>IF(AQ361="7",BI361,0)</f>
        <v>0</v>
      </c>
      <c r="AF361" s="102">
        <f>IF(AQ361="2",BH361,0)</f>
        <v>0</v>
      </c>
      <c r="AG361" s="102">
        <f>IF(AQ361="2",BI361,0)</f>
        <v>0</v>
      </c>
      <c r="AH361" s="102">
        <f>IF(AQ361="0",BJ361,0)</f>
        <v>0</v>
      </c>
      <c r="AI361" s="87" t="s">
        <v>566</v>
      </c>
      <c r="AJ361" s="102">
        <f>IF(AN361=0,J361,0)</f>
        <v>0</v>
      </c>
      <c r="AK361" s="102">
        <f>IF(AN361=12,J361,0)</f>
        <v>0</v>
      </c>
      <c r="AL361" s="102">
        <f>IF(AN361=21,J361,0)</f>
        <v>0</v>
      </c>
      <c r="AN361" s="102">
        <v>21</v>
      </c>
      <c r="AO361" s="102">
        <f>G361*0</f>
        <v>0</v>
      </c>
      <c r="AP361" s="102">
        <f>G361*(1-0)</f>
        <v>0</v>
      </c>
      <c r="AQ361" s="104" t="s">
        <v>574</v>
      </c>
      <c r="AV361" s="102">
        <f>AW361+AX361</f>
        <v>0</v>
      </c>
      <c r="AW361" s="102">
        <f>F361*AO361</f>
        <v>0</v>
      </c>
      <c r="AX361" s="102">
        <f>F361*AP361</f>
        <v>0</v>
      </c>
      <c r="AY361" s="104" t="s">
        <v>892</v>
      </c>
      <c r="AZ361" s="104" t="s">
        <v>114</v>
      </c>
      <c r="BA361" s="87" t="s">
        <v>870</v>
      </c>
      <c r="BC361" s="102">
        <f>AW361+AX361</f>
        <v>0</v>
      </c>
      <c r="BD361" s="102">
        <f>G361/(100-BE361)*100</f>
        <v>0</v>
      </c>
      <c r="BE361" s="102">
        <v>0</v>
      </c>
      <c r="BF361" s="102">
        <f>361</f>
        <v>361</v>
      </c>
      <c r="BH361" s="102">
        <f>F361*AO361</f>
        <v>0</v>
      </c>
      <c r="BI361" s="102">
        <f>F361*AP361</f>
        <v>0</v>
      </c>
      <c r="BJ361" s="102">
        <f>F361*G361</f>
        <v>0</v>
      </c>
      <c r="BK361" s="102"/>
      <c r="BL361" s="102"/>
      <c r="BW361" s="102">
        <v>21</v>
      </c>
    </row>
    <row r="362" spans="1:11" ht="15">
      <c r="A362" s="105"/>
      <c r="C362" s="106" t="s">
        <v>693</v>
      </c>
      <c r="D362" s="107" t="s">
        <v>577</v>
      </c>
      <c r="F362" s="108">
        <v>50.00000000000001</v>
      </c>
      <c r="G362" s="215"/>
      <c r="K362" s="109"/>
    </row>
    <row r="363" spans="1:75" ht="15">
      <c r="A363" s="23" t="s">
        <v>583</v>
      </c>
      <c r="B363" s="19" t="s">
        <v>340</v>
      </c>
      <c r="C363" s="135" t="s">
        <v>201</v>
      </c>
      <c r="D363" s="135"/>
      <c r="E363" s="19" t="s">
        <v>695</v>
      </c>
      <c r="F363" s="102">
        <f>'Stavební rozpočet'!F363</f>
        <v>50</v>
      </c>
      <c r="G363" s="214">
        <f>'Stavební rozpočet'!G363</f>
        <v>0</v>
      </c>
      <c r="H363" s="102">
        <f>F363*AO363</f>
        <v>0</v>
      </c>
      <c r="I363" s="102">
        <f>F363*AP363</f>
        <v>0</v>
      </c>
      <c r="J363" s="102">
        <f>F363*G363</f>
        <v>0</v>
      </c>
      <c r="K363" s="103" t="s">
        <v>577</v>
      </c>
      <c r="Z363" s="102">
        <f>IF(AQ363="5",BJ363,0)</f>
        <v>0</v>
      </c>
      <c r="AB363" s="102">
        <f>IF(AQ363="1",BH363,0)</f>
        <v>0</v>
      </c>
      <c r="AC363" s="102">
        <f>IF(AQ363="1",BI363,0)</f>
        <v>0</v>
      </c>
      <c r="AD363" s="102">
        <f>IF(AQ363="7",BH363,0)</f>
        <v>0</v>
      </c>
      <c r="AE363" s="102">
        <f>IF(AQ363="7",BI363,0)</f>
        <v>0</v>
      </c>
      <c r="AF363" s="102">
        <f>IF(AQ363="2",BH363,0)</f>
        <v>0</v>
      </c>
      <c r="AG363" s="102">
        <f>IF(AQ363="2",BI363,0)</f>
        <v>0</v>
      </c>
      <c r="AH363" s="102">
        <f>IF(AQ363="0",BJ363,0)</f>
        <v>0</v>
      </c>
      <c r="AI363" s="87" t="s">
        <v>566</v>
      </c>
      <c r="AJ363" s="102">
        <f>IF(AN363=0,J363,0)</f>
        <v>0</v>
      </c>
      <c r="AK363" s="102">
        <f>IF(AN363=12,J363,0)</f>
        <v>0</v>
      </c>
      <c r="AL363" s="102">
        <f>IF(AN363=21,J363,0)</f>
        <v>0</v>
      </c>
      <c r="AN363" s="102">
        <v>21</v>
      </c>
      <c r="AO363" s="102">
        <f>G363*0.598787767752179</f>
        <v>0</v>
      </c>
      <c r="AP363" s="102">
        <f>G363*(1-0.598787767752179)</f>
        <v>0</v>
      </c>
      <c r="AQ363" s="104" t="s">
        <v>574</v>
      </c>
      <c r="AV363" s="102">
        <f>AW363+AX363</f>
        <v>0</v>
      </c>
      <c r="AW363" s="102">
        <f>F363*AO363</f>
        <v>0</v>
      </c>
      <c r="AX363" s="102">
        <f>F363*AP363</f>
        <v>0</v>
      </c>
      <c r="AY363" s="104" t="s">
        <v>892</v>
      </c>
      <c r="AZ363" s="104" t="s">
        <v>114</v>
      </c>
      <c r="BA363" s="87" t="s">
        <v>870</v>
      </c>
      <c r="BC363" s="102">
        <f>AW363+AX363</f>
        <v>0</v>
      </c>
      <c r="BD363" s="102">
        <f>G363/(100-BE363)*100</f>
        <v>0</v>
      </c>
      <c r="BE363" s="102">
        <v>0</v>
      </c>
      <c r="BF363" s="102">
        <f>363</f>
        <v>363</v>
      </c>
      <c r="BH363" s="102">
        <f>F363*AO363</f>
        <v>0</v>
      </c>
      <c r="BI363" s="102">
        <f>F363*AP363</f>
        <v>0</v>
      </c>
      <c r="BJ363" s="102">
        <f>F363*G363</f>
        <v>0</v>
      </c>
      <c r="BK363" s="102"/>
      <c r="BL363" s="102"/>
      <c r="BW363" s="102">
        <v>21</v>
      </c>
    </row>
    <row r="364" spans="1:11" ht="15">
      <c r="A364" s="105"/>
      <c r="C364" s="202" t="s">
        <v>309</v>
      </c>
      <c r="D364" s="202"/>
      <c r="E364" s="202"/>
      <c r="F364" s="202"/>
      <c r="G364" s="202"/>
      <c r="H364" s="202"/>
      <c r="I364" s="202"/>
      <c r="J364" s="202"/>
      <c r="K364" s="203"/>
    </row>
    <row r="365" spans="1:11" ht="15">
      <c r="A365" s="105"/>
      <c r="C365" s="106" t="s">
        <v>693</v>
      </c>
      <c r="D365" s="107" t="s">
        <v>577</v>
      </c>
      <c r="F365" s="108">
        <v>50.00000000000001</v>
      </c>
      <c r="G365" s="215"/>
      <c r="K365" s="109"/>
    </row>
    <row r="366" spans="1:47" ht="15">
      <c r="A366" s="99" t="s">
        <v>577</v>
      </c>
      <c r="B366" s="22" t="s">
        <v>307</v>
      </c>
      <c r="C366" s="201" t="s">
        <v>393</v>
      </c>
      <c r="D366" s="201"/>
      <c r="E366" s="100" t="s">
        <v>774</v>
      </c>
      <c r="F366" s="100" t="s">
        <v>774</v>
      </c>
      <c r="G366" s="100" t="s">
        <v>774</v>
      </c>
      <c r="H366" s="82">
        <f>SUM(H367:H381)</f>
        <v>0</v>
      </c>
      <c r="I366" s="82">
        <f>SUM(I367:I381)</f>
        <v>0</v>
      </c>
      <c r="J366" s="82">
        <f>SUM(J367:J381)</f>
        <v>0</v>
      </c>
      <c r="K366" s="101" t="s">
        <v>577</v>
      </c>
      <c r="AI366" s="87" t="s">
        <v>566</v>
      </c>
      <c r="AS366" s="82">
        <f>SUM(AJ367:AJ381)</f>
        <v>0</v>
      </c>
      <c r="AT366" s="82">
        <f>SUM(AK367:AK381)</f>
        <v>0</v>
      </c>
      <c r="AU366" s="82">
        <f>SUM(AL367:AL381)</f>
        <v>0</v>
      </c>
    </row>
    <row r="367" spans="1:75" ht="15">
      <c r="A367" s="23" t="s">
        <v>909</v>
      </c>
      <c r="B367" s="19" t="s">
        <v>850</v>
      </c>
      <c r="C367" s="135" t="s">
        <v>244</v>
      </c>
      <c r="D367" s="135"/>
      <c r="E367" s="19" t="s">
        <v>415</v>
      </c>
      <c r="F367" s="102">
        <f>'Stavební rozpočet'!F367</f>
        <v>61.39</v>
      </c>
      <c r="G367" s="214">
        <f>'Stavební rozpočet'!G367</f>
        <v>0</v>
      </c>
      <c r="H367" s="102">
        <f>F367*AO367</f>
        <v>0</v>
      </c>
      <c r="I367" s="102">
        <f>F367*AP367</f>
        <v>0</v>
      </c>
      <c r="J367" s="102">
        <f>F367*G367</f>
        <v>0</v>
      </c>
      <c r="K367" s="103" t="s">
        <v>406</v>
      </c>
      <c r="Z367" s="102">
        <f>IF(AQ367="5",BJ367,0)</f>
        <v>0</v>
      </c>
      <c r="AB367" s="102">
        <f>IF(AQ367="1",BH367,0)</f>
        <v>0</v>
      </c>
      <c r="AC367" s="102">
        <f>IF(AQ367="1",BI367,0)</f>
        <v>0</v>
      </c>
      <c r="AD367" s="102">
        <f>IF(AQ367="7",BH367,0)</f>
        <v>0</v>
      </c>
      <c r="AE367" s="102">
        <f>IF(AQ367="7",BI367,0)</f>
        <v>0</v>
      </c>
      <c r="AF367" s="102">
        <f>IF(AQ367="2",BH367,0)</f>
        <v>0</v>
      </c>
      <c r="AG367" s="102">
        <f>IF(AQ367="2",BI367,0)</f>
        <v>0</v>
      </c>
      <c r="AH367" s="102">
        <f>IF(AQ367="0",BJ367,0)</f>
        <v>0</v>
      </c>
      <c r="AI367" s="87" t="s">
        <v>566</v>
      </c>
      <c r="AJ367" s="102">
        <f>IF(AN367=0,J367,0)</f>
        <v>0</v>
      </c>
      <c r="AK367" s="102">
        <f>IF(AN367=12,J367,0)</f>
        <v>0</v>
      </c>
      <c r="AL367" s="102">
        <f>IF(AN367=21,J367,0)</f>
        <v>0</v>
      </c>
      <c r="AN367" s="102">
        <v>21</v>
      </c>
      <c r="AO367" s="102">
        <f>G367*0</f>
        <v>0</v>
      </c>
      <c r="AP367" s="102">
        <f>G367*(1-0)</f>
        <v>0</v>
      </c>
      <c r="AQ367" s="104" t="s">
        <v>461</v>
      </c>
      <c r="AV367" s="102">
        <f>AW367+AX367</f>
        <v>0</v>
      </c>
      <c r="AW367" s="102">
        <f>F367*AO367</f>
        <v>0</v>
      </c>
      <c r="AX367" s="102">
        <f>F367*AP367</f>
        <v>0</v>
      </c>
      <c r="AY367" s="104" t="s">
        <v>376</v>
      </c>
      <c r="AZ367" s="104" t="s">
        <v>114</v>
      </c>
      <c r="BA367" s="87" t="s">
        <v>870</v>
      </c>
      <c r="BC367" s="102">
        <f>AW367+AX367</f>
        <v>0</v>
      </c>
      <c r="BD367" s="102">
        <f>G367/(100-BE367)*100</f>
        <v>0</v>
      </c>
      <c r="BE367" s="102">
        <v>0</v>
      </c>
      <c r="BF367" s="102">
        <f>367</f>
        <v>367</v>
      </c>
      <c r="BH367" s="102">
        <f>F367*AO367</f>
        <v>0</v>
      </c>
      <c r="BI367" s="102">
        <f>F367*AP367</f>
        <v>0</v>
      </c>
      <c r="BJ367" s="102">
        <f>F367*G367</f>
        <v>0</v>
      </c>
      <c r="BK367" s="102"/>
      <c r="BL367" s="102"/>
      <c r="BW367" s="102">
        <v>21</v>
      </c>
    </row>
    <row r="368" spans="1:75" ht="15">
      <c r="A368" s="23" t="s">
        <v>854</v>
      </c>
      <c r="B368" s="19" t="s">
        <v>331</v>
      </c>
      <c r="C368" s="135" t="s">
        <v>830</v>
      </c>
      <c r="D368" s="135"/>
      <c r="E368" s="19" t="s">
        <v>415</v>
      </c>
      <c r="F368" s="102">
        <f>'Stavební rozpočet'!F368</f>
        <v>61.39</v>
      </c>
      <c r="G368" s="214">
        <f>'Stavební rozpočet'!G368</f>
        <v>0</v>
      </c>
      <c r="H368" s="102">
        <f>F368*AO368</f>
        <v>0</v>
      </c>
      <c r="I368" s="102">
        <f>F368*AP368</f>
        <v>0</v>
      </c>
      <c r="J368" s="102">
        <f>F368*G368</f>
        <v>0</v>
      </c>
      <c r="K368" s="103" t="s">
        <v>406</v>
      </c>
      <c r="Z368" s="102">
        <f>IF(AQ368="5",BJ368,0)</f>
        <v>0</v>
      </c>
      <c r="AB368" s="102">
        <f>IF(AQ368="1",BH368,0)</f>
        <v>0</v>
      </c>
      <c r="AC368" s="102">
        <f>IF(AQ368="1",BI368,0)</f>
        <v>0</v>
      </c>
      <c r="AD368" s="102">
        <f>IF(AQ368="7",BH368,0)</f>
        <v>0</v>
      </c>
      <c r="AE368" s="102">
        <f>IF(AQ368="7",BI368,0)</f>
        <v>0</v>
      </c>
      <c r="AF368" s="102">
        <f>IF(AQ368="2",BH368,0)</f>
        <v>0</v>
      </c>
      <c r="AG368" s="102">
        <f>IF(AQ368="2",BI368,0)</f>
        <v>0</v>
      </c>
      <c r="AH368" s="102">
        <f>IF(AQ368="0",BJ368,0)</f>
        <v>0</v>
      </c>
      <c r="AI368" s="87" t="s">
        <v>566</v>
      </c>
      <c r="AJ368" s="102">
        <f>IF(AN368=0,J368,0)</f>
        <v>0</v>
      </c>
      <c r="AK368" s="102">
        <f>IF(AN368=12,J368,0)</f>
        <v>0</v>
      </c>
      <c r="AL368" s="102">
        <f>IF(AN368=21,J368,0)</f>
        <v>0</v>
      </c>
      <c r="AN368" s="102">
        <v>21</v>
      </c>
      <c r="AO368" s="102">
        <f>G368*0</f>
        <v>0</v>
      </c>
      <c r="AP368" s="102">
        <f>G368*(1-0)</f>
        <v>0</v>
      </c>
      <c r="AQ368" s="104" t="s">
        <v>461</v>
      </c>
      <c r="AV368" s="102">
        <f>AW368+AX368</f>
        <v>0</v>
      </c>
      <c r="AW368" s="102">
        <f>F368*AO368</f>
        <v>0</v>
      </c>
      <c r="AX368" s="102">
        <f>F368*AP368</f>
        <v>0</v>
      </c>
      <c r="AY368" s="104" t="s">
        <v>376</v>
      </c>
      <c r="AZ368" s="104" t="s">
        <v>114</v>
      </c>
      <c r="BA368" s="87" t="s">
        <v>870</v>
      </c>
      <c r="BC368" s="102">
        <f>AW368+AX368</f>
        <v>0</v>
      </c>
      <c r="BD368" s="102">
        <f>G368/(100-BE368)*100</f>
        <v>0</v>
      </c>
      <c r="BE368" s="102">
        <v>0</v>
      </c>
      <c r="BF368" s="102">
        <f>368</f>
        <v>368</v>
      </c>
      <c r="BH368" s="102">
        <f>F368*AO368</f>
        <v>0</v>
      </c>
      <c r="BI368" s="102">
        <f>F368*AP368</f>
        <v>0</v>
      </c>
      <c r="BJ368" s="102">
        <f>F368*G368</f>
        <v>0</v>
      </c>
      <c r="BK368" s="102"/>
      <c r="BL368" s="102"/>
      <c r="BW368" s="102">
        <v>21</v>
      </c>
    </row>
    <row r="369" spans="1:11" ht="15">
      <c r="A369" s="105"/>
      <c r="C369" s="106" t="s">
        <v>932</v>
      </c>
      <c r="D369" s="107" t="s">
        <v>577</v>
      </c>
      <c r="F369" s="108">
        <v>61.39000000000001</v>
      </c>
      <c r="G369" s="215"/>
      <c r="K369" s="109"/>
    </row>
    <row r="370" spans="1:75" ht="15">
      <c r="A370" s="23" t="s">
        <v>799</v>
      </c>
      <c r="B370" s="19" t="s">
        <v>384</v>
      </c>
      <c r="C370" s="135" t="s">
        <v>4</v>
      </c>
      <c r="D370" s="135"/>
      <c r="E370" s="19" t="s">
        <v>415</v>
      </c>
      <c r="F370" s="102">
        <f>'Stavební rozpočet'!F370</f>
        <v>184.17</v>
      </c>
      <c r="G370" s="214">
        <f>'Stavební rozpočet'!G370</f>
        <v>0</v>
      </c>
      <c r="H370" s="102">
        <f>F370*AO370</f>
        <v>0</v>
      </c>
      <c r="I370" s="102">
        <f>F370*AP370</f>
        <v>0</v>
      </c>
      <c r="J370" s="102">
        <f>F370*G370</f>
        <v>0</v>
      </c>
      <c r="K370" s="103" t="s">
        <v>406</v>
      </c>
      <c r="Z370" s="102">
        <f>IF(AQ370="5",BJ370,0)</f>
        <v>0</v>
      </c>
      <c r="AB370" s="102">
        <f>IF(AQ370="1",BH370,0)</f>
        <v>0</v>
      </c>
      <c r="AC370" s="102">
        <f>IF(AQ370="1",BI370,0)</f>
        <v>0</v>
      </c>
      <c r="AD370" s="102">
        <f>IF(AQ370="7",BH370,0)</f>
        <v>0</v>
      </c>
      <c r="AE370" s="102">
        <f>IF(AQ370="7",BI370,0)</f>
        <v>0</v>
      </c>
      <c r="AF370" s="102">
        <f>IF(AQ370="2",BH370,0)</f>
        <v>0</v>
      </c>
      <c r="AG370" s="102">
        <f>IF(AQ370="2",BI370,0)</f>
        <v>0</v>
      </c>
      <c r="AH370" s="102">
        <f>IF(AQ370="0",BJ370,0)</f>
        <v>0</v>
      </c>
      <c r="AI370" s="87" t="s">
        <v>566</v>
      </c>
      <c r="AJ370" s="102">
        <f>IF(AN370=0,J370,0)</f>
        <v>0</v>
      </c>
      <c r="AK370" s="102">
        <f>IF(AN370=12,J370,0)</f>
        <v>0</v>
      </c>
      <c r="AL370" s="102">
        <f>IF(AN370=21,J370,0)</f>
        <v>0</v>
      </c>
      <c r="AN370" s="102">
        <v>21</v>
      </c>
      <c r="AO370" s="102">
        <f>G370*0</f>
        <v>0</v>
      </c>
      <c r="AP370" s="102">
        <f>G370*(1-0)</f>
        <v>0</v>
      </c>
      <c r="AQ370" s="104" t="s">
        <v>461</v>
      </c>
      <c r="AV370" s="102">
        <f>AW370+AX370</f>
        <v>0</v>
      </c>
      <c r="AW370" s="102">
        <f>F370*AO370</f>
        <v>0</v>
      </c>
      <c r="AX370" s="102">
        <f>F370*AP370</f>
        <v>0</v>
      </c>
      <c r="AY370" s="104" t="s">
        <v>376</v>
      </c>
      <c r="AZ370" s="104" t="s">
        <v>114</v>
      </c>
      <c r="BA370" s="87" t="s">
        <v>870</v>
      </c>
      <c r="BC370" s="102">
        <f>AW370+AX370</f>
        <v>0</v>
      </c>
      <c r="BD370" s="102">
        <f>G370/(100-BE370)*100</f>
        <v>0</v>
      </c>
      <c r="BE370" s="102">
        <v>0</v>
      </c>
      <c r="BF370" s="102">
        <f>370</f>
        <v>370</v>
      </c>
      <c r="BH370" s="102">
        <f>F370*AO370</f>
        <v>0</v>
      </c>
      <c r="BI370" s="102">
        <f>F370*AP370</f>
        <v>0</v>
      </c>
      <c r="BJ370" s="102">
        <f>F370*G370</f>
        <v>0</v>
      </c>
      <c r="BK370" s="102"/>
      <c r="BL370" s="102"/>
      <c r="BW370" s="102">
        <v>21</v>
      </c>
    </row>
    <row r="371" spans="1:11" ht="15">
      <c r="A371" s="105"/>
      <c r="C371" s="106" t="s">
        <v>143</v>
      </c>
      <c r="D371" s="107" t="s">
        <v>577</v>
      </c>
      <c r="F371" s="108">
        <v>184.17000000000002</v>
      </c>
      <c r="G371" s="215"/>
      <c r="K371" s="109"/>
    </row>
    <row r="372" spans="1:75" ht="15">
      <c r="A372" s="23" t="s">
        <v>454</v>
      </c>
      <c r="B372" s="19" t="s">
        <v>596</v>
      </c>
      <c r="C372" s="135" t="s">
        <v>619</v>
      </c>
      <c r="D372" s="135"/>
      <c r="E372" s="19" t="s">
        <v>415</v>
      </c>
      <c r="F372" s="102">
        <f>'Stavební rozpočet'!F372</f>
        <v>61.39</v>
      </c>
      <c r="G372" s="214">
        <f>'Stavební rozpočet'!G372</f>
        <v>0</v>
      </c>
      <c r="H372" s="102">
        <f>F372*AO372</f>
        <v>0</v>
      </c>
      <c r="I372" s="102">
        <f>F372*AP372</f>
        <v>0</v>
      </c>
      <c r="J372" s="102">
        <f>F372*G372</f>
        <v>0</v>
      </c>
      <c r="K372" s="103" t="s">
        <v>406</v>
      </c>
      <c r="Z372" s="102">
        <f>IF(AQ372="5",BJ372,0)</f>
        <v>0</v>
      </c>
      <c r="AB372" s="102">
        <f>IF(AQ372="1",BH372,0)</f>
        <v>0</v>
      </c>
      <c r="AC372" s="102">
        <f>IF(AQ372="1",BI372,0)</f>
        <v>0</v>
      </c>
      <c r="AD372" s="102">
        <f>IF(AQ372="7",BH372,0)</f>
        <v>0</v>
      </c>
      <c r="AE372" s="102">
        <f>IF(AQ372="7",BI372,0)</f>
        <v>0</v>
      </c>
      <c r="AF372" s="102">
        <f>IF(AQ372="2",BH372,0)</f>
        <v>0</v>
      </c>
      <c r="AG372" s="102">
        <f>IF(AQ372="2",BI372,0)</f>
        <v>0</v>
      </c>
      <c r="AH372" s="102">
        <f>IF(AQ372="0",BJ372,0)</f>
        <v>0</v>
      </c>
      <c r="AI372" s="87" t="s">
        <v>566</v>
      </c>
      <c r="AJ372" s="102">
        <f>IF(AN372=0,J372,0)</f>
        <v>0</v>
      </c>
      <c r="AK372" s="102">
        <f>IF(AN372=12,J372,0)</f>
        <v>0</v>
      </c>
      <c r="AL372" s="102">
        <f>IF(AN372=21,J372,0)</f>
        <v>0</v>
      </c>
      <c r="AN372" s="102">
        <v>21</v>
      </c>
      <c r="AO372" s="102">
        <f>G372*0</f>
        <v>0</v>
      </c>
      <c r="AP372" s="102">
        <f>G372*(1-0)</f>
        <v>0</v>
      </c>
      <c r="AQ372" s="104" t="s">
        <v>461</v>
      </c>
      <c r="AV372" s="102">
        <f>AW372+AX372</f>
        <v>0</v>
      </c>
      <c r="AW372" s="102">
        <f>F372*AO372</f>
        <v>0</v>
      </c>
      <c r="AX372" s="102">
        <f>F372*AP372</f>
        <v>0</v>
      </c>
      <c r="AY372" s="104" t="s">
        <v>376</v>
      </c>
      <c r="AZ372" s="104" t="s">
        <v>114</v>
      </c>
      <c r="BA372" s="87" t="s">
        <v>870</v>
      </c>
      <c r="BC372" s="102">
        <f>AW372+AX372</f>
        <v>0</v>
      </c>
      <c r="BD372" s="102">
        <f>G372/(100-BE372)*100</f>
        <v>0</v>
      </c>
      <c r="BE372" s="102">
        <v>0</v>
      </c>
      <c r="BF372" s="102">
        <f>372</f>
        <v>372</v>
      </c>
      <c r="BH372" s="102">
        <f>F372*AO372</f>
        <v>0</v>
      </c>
      <c r="BI372" s="102">
        <f>F372*AP372</f>
        <v>0</v>
      </c>
      <c r="BJ372" s="102">
        <f>F372*G372</f>
        <v>0</v>
      </c>
      <c r="BK372" s="102"/>
      <c r="BL372" s="102"/>
      <c r="BW372" s="102">
        <v>21</v>
      </c>
    </row>
    <row r="373" spans="1:11" ht="15">
      <c r="A373" s="105"/>
      <c r="C373" s="106" t="s">
        <v>932</v>
      </c>
      <c r="D373" s="107" t="s">
        <v>577</v>
      </c>
      <c r="F373" s="108">
        <v>61.39000000000001</v>
      </c>
      <c r="G373" s="215"/>
      <c r="K373" s="109"/>
    </row>
    <row r="374" spans="1:75" ht="15">
      <c r="A374" s="23" t="s">
        <v>416</v>
      </c>
      <c r="B374" s="19" t="s">
        <v>549</v>
      </c>
      <c r="C374" s="135" t="s">
        <v>398</v>
      </c>
      <c r="D374" s="135"/>
      <c r="E374" s="19" t="s">
        <v>415</v>
      </c>
      <c r="F374" s="102">
        <f>'Stavební rozpočet'!F374</f>
        <v>1166.41</v>
      </c>
      <c r="G374" s="214">
        <f>'Stavební rozpočet'!G374</f>
        <v>0</v>
      </c>
      <c r="H374" s="102">
        <f>F374*AO374</f>
        <v>0</v>
      </c>
      <c r="I374" s="102">
        <f>F374*AP374</f>
        <v>0</v>
      </c>
      <c r="J374" s="102">
        <f>F374*G374</f>
        <v>0</v>
      </c>
      <c r="K374" s="103" t="s">
        <v>406</v>
      </c>
      <c r="Z374" s="102">
        <f>IF(AQ374="5",BJ374,0)</f>
        <v>0</v>
      </c>
      <c r="AB374" s="102">
        <f>IF(AQ374="1",BH374,0)</f>
        <v>0</v>
      </c>
      <c r="AC374" s="102">
        <f>IF(AQ374="1",BI374,0)</f>
        <v>0</v>
      </c>
      <c r="AD374" s="102">
        <f>IF(AQ374="7",BH374,0)</f>
        <v>0</v>
      </c>
      <c r="AE374" s="102">
        <f>IF(AQ374="7",BI374,0)</f>
        <v>0</v>
      </c>
      <c r="AF374" s="102">
        <f>IF(AQ374="2",BH374,0)</f>
        <v>0</v>
      </c>
      <c r="AG374" s="102">
        <f>IF(AQ374="2",BI374,0)</f>
        <v>0</v>
      </c>
      <c r="AH374" s="102">
        <f>IF(AQ374="0",BJ374,0)</f>
        <v>0</v>
      </c>
      <c r="AI374" s="87" t="s">
        <v>566</v>
      </c>
      <c r="AJ374" s="102">
        <f>IF(AN374=0,J374,0)</f>
        <v>0</v>
      </c>
      <c r="AK374" s="102">
        <f>IF(AN374=12,J374,0)</f>
        <v>0</v>
      </c>
      <c r="AL374" s="102">
        <f>IF(AN374=21,J374,0)</f>
        <v>0</v>
      </c>
      <c r="AN374" s="102">
        <v>21</v>
      </c>
      <c r="AO374" s="102">
        <f>G374*0</f>
        <v>0</v>
      </c>
      <c r="AP374" s="102">
        <f>G374*(1-0)</f>
        <v>0</v>
      </c>
      <c r="AQ374" s="104" t="s">
        <v>461</v>
      </c>
      <c r="AV374" s="102">
        <f>AW374+AX374</f>
        <v>0</v>
      </c>
      <c r="AW374" s="102">
        <f>F374*AO374</f>
        <v>0</v>
      </c>
      <c r="AX374" s="102">
        <f>F374*AP374</f>
        <v>0</v>
      </c>
      <c r="AY374" s="104" t="s">
        <v>376</v>
      </c>
      <c r="AZ374" s="104" t="s">
        <v>114</v>
      </c>
      <c r="BA374" s="87" t="s">
        <v>870</v>
      </c>
      <c r="BC374" s="102">
        <f>AW374+AX374</f>
        <v>0</v>
      </c>
      <c r="BD374" s="102">
        <f>G374/(100-BE374)*100</f>
        <v>0</v>
      </c>
      <c r="BE374" s="102">
        <v>0</v>
      </c>
      <c r="BF374" s="102">
        <f>374</f>
        <v>374</v>
      </c>
      <c r="BH374" s="102">
        <f>F374*AO374</f>
        <v>0</v>
      </c>
      <c r="BI374" s="102">
        <f>F374*AP374</f>
        <v>0</v>
      </c>
      <c r="BJ374" s="102">
        <f>F374*G374</f>
        <v>0</v>
      </c>
      <c r="BK374" s="102"/>
      <c r="BL374" s="102"/>
      <c r="BW374" s="102">
        <v>21</v>
      </c>
    </row>
    <row r="375" spans="1:11" ht="15">
      <c r="A375" s="105"/>
      <c r="C375" s="106" t="s">
        <v>23</v>
      </c>
      <c r="D375" s="107" t="s">
        <v>577</v>
      </c>
      <c r="F375" s="108">
        <v>1166.41</v>
      </c>
      <c r="G375" s="215"/>
      <c r="K375" s="109"/>
    </row>
    <row r="376" spans="1:75" ht="15">
      <c r="A376" s="23" t="s">
        <v>382</v>
      </c>
      <c r="B376" s="19" t="s">
        <v>516</v>
      </c>
      <c r="C376" s="135" t="s">
        <v>194</v>
      </c>
      <c r="D376" s="135"/>
      <c r="E376" s="19" t="s">
        <v>415</v>
      </c>
      <c r="F376" s="102">
        <f>'Stavební rozpočet'!F376</f>
        <v>7.54</v>
      </c>
      <c r="G376" s="214">
        <f>'Stavební rozpočet'!G376</f>
        <v>0</v>
      </c>
      <c r="H376" s="102">
        <f>F376*AO376</f>
        <v>0</v>
      </c>
      <c r="I376" s="102">
        <f>F376*AP376</f>
        <v>0</v>
      </c>
      <c r="J376" s="102">
        <f>F376*G376</f>
        <v>0</v>
      </c>
      <c r="K376" s="103" t="s">
        <v>406</v>
      </c>
      <c r="Z376" s="102">
        <f>IF(AQ376="5",BJ376,0)</f>
        <v>0</v>
      </c>
      <c r="AB376" s="102">
        <f>IF(AQ376="1",BH376,0)</f>
        <v>0</v>
      </c>
      <c r="AC376" s="102">
        <f>IF(AQ376="1",BI376,0)</f>
        <v>0</v>
      </c>
      <c r="AD376" s="102">
        <f>IF(AQ376="7",BH376,0)</f>
        <v>0</v>
      </c>
      <c r="AE376" s="102">
        <f>IF(AQ376="7",BI376,0)</f>
        <v>0</v>
      </c>
      <c r="AF376" s="102">
        <f>IF(AQ376="2",BH376,0)</f>
        <v>0</v>
      </c>
      <c r="AG376" s="102">
        <f>IF(AQ376="2",BI376,0)</f>
        <v>0</v>
      </c>
      <c r="AH376" s="102">
        <f>IF(AQ376="0",BJ376,0)</f>
        <v>0</v>
      </c>
      <c r="AI376" s="87" t="s">
        <v>566</v>
      </c>
      <c r="AJ376" s="102">
        <f>IF(AN376=0,J376,0)</f>
        <v>0</v>
      </c>
      <c r="AK376" s="102">
        <f>IF(AN376=12,J376,0)</f>
        <v>0</v>
      </c>
      <c r="AL376" s="102">
        <f>IF(AN376=21,J376,0)</f>
        <v>0</v>
      </c>
      <c r="AN376" s="102">
        <v>21</v>
      </c>
      <c r="AO376" s="102">
        <f>G376*0</f>
        <v>0</v>
      </c>
      <c r="AP376" s="102">
        <f>G376*(1-0)</f>
        <v>0</v>
      </c>
      <c r="AQ376" s="104" t="s">
        <v>461</v>
      </c>
      <c r="AV376" s="102">
        <f>AW376+AX376</f>
        <v>0</v>
      </c>
      <c r="AW376" s="102">
        <f>F376*AO376</f>
        <v>0</v>
      </c>
      <c r="AX376" s="102">
        <f>F376*AP376</f>
        <v>0</v>
      </c>
      <c r="AY376" s="104" t="s">
        <v>376</v>
      </c>
      <c r="AZ376" s="104" t="s">
        <v>114</v>
      </c>
      <c r="BA376" s="87" t="s">
        <v>870</v>
      </c>
      <c r="BC376" s="102">
        <f>AW376+AX376</f>
        <v>0</v>
      </c>
      <c r="BD376" s="102">
        <f>G376/(100-BE376)*100</f>
        <v>0</v>
      </c>
      <c r="BE376" s="102">
        <v>0</v>
      </c>
      <c r="BF376" s="102">
        <f>376</f>
        <v>376</v>
      </c>
      <c r="BH376" s="102">
        <f>F376*AO376</f>
        <v>0</v>
      </c>
      <c r="BI376" s="102">
        <f>F376*AP376</f>
        <v>0</v>
      </c>
      <c r="BJ376" s="102">
        <f>F376*G376</f>
        <v>0</v>
      </c>
      <c r="BK376" s="102"/>
      <c r="BL376" s="102"/>
      <c r="BW376" s="102">
        <v>21</v>
      </c>
    </row>
    <row r="377" spans="1:11" ht="15">
      <c r="A377" s="105"/>
      <c r="C377" s="106" t="s">
        <v>486</v>
      </c>
      <c r="D377" s="107" t="s">
        <v>577</v>
      </c>
      <c r="F377" s="108">
        <v>7.540000000000001</v>
      </c>
      <c r="G377" s="215"/>
      <c r="K377" s="109"/>
    </row>
    <row r="378" spans="1:75" ht="15">
      <c r="A378" s="23" t="s">
        <v>164</v>
      </c>
      <c r="B378" s="19" t="s">
        <v>862</v>
      </c>
      <c r="C378" s="135" t="s">
        <v>133</v>
      </c>
      <c r="D378" s="135"/>
      <c r="E378" s="19" t="s">
        <v>415</v>
      </c>
      <c r="F378" s="102">
        <f>'Stavební rozpočet'!F378</f>
        <v>1.13</v>
      </c>
      <c r="G378" s="214">
        <f>'Stavební rozpočet'!G378</f>
        <v>0</v>
      </c>
      <c r="H378" s="102">
        <f>F378*AO378</f>
        <v>0</v>
      </c>
      <c r="I378" s="102">
        <f>F378*AP378</f>
        <v>0</v>
      </c>
      <c r="J378" s="102">
        <f>F378*G378</f>
        <v>0</v>
      </c>
      <c r="K378" s="103" t="s">
        <v>406</v>
      </c>
      <c r="Z378" s="102">
        <f>IF(AQ378="5",BJ378,0)</f>
        <v>0</v>
      </c>
      <c r="AB378" s="102">
        <f>IF(AQ378="1",BH378,0)</f>
        <v>0</v>
      </c>
      <c r="AC378" s="102">
        <f>IF(AQ378="1",BI378,0)</f>
        <v>0</v>
      </c>
      <c r="AD378" s="102">
        <f>IF(AQ378="7",BH378,0)</f>
        <v>0</v>
      </c>
      <c r="AE378" s="102">
        <f>IF(AQ378="7",BI378,0)</f>
        <v>0</v>
      </c>
      <c r="AF378" s="102">
        <f>IF(AQ378="2",BH378,0)</f>
        <v>0</v>
      </c>
      <c r="AG378" s="102">
        <f>IF(AQ378="2",BI378,0)</f>
        <v>0</v>
      </c>
      <c r="AH378" s="102">
        <f>IF(AQ378="0",BJ378,0)</f>
        <v>0</v>
      </c>
      <c r="AI378" s="87" t="s">
        <v>566</v>
      </c>
      <c r="AJ378" s="102">
        <f>IF(AN378=0,J378,0)</f>
        <v>0</v>
      </c>
      <c r="AK378" s="102">
        <f>IF(AN378=12,J378,0)</f>
        <v>0</v>
      </c>
      <c r="AL378" s="102">
        <f>IF(AN378=21,J378,0)</f>
        <v>0</v>
      </c>
      <c r="AN378" s="102">
        <v>21</v>
      </c>
      <c r="AO378" s="102">
        <f>G378*0</f>
        <v>0</v>
      </c>
      <c r="AP378" s="102">
        <f>G378*(1-0)</f>
        <v>0</v>
      </c>
      <c r="AQ378" s="104" t="s">
        <v>461</v>
      </c>
      <c r="AV378" s="102">
        <f>AW378+AX378</f>
        <v>0</v>
      </c>
      <c r="AW378" s="102">
        <f>F378*AO378</f>
        <v>0</v>
      </c>
      <c r="AX378" s="102">
        <f>F378*AP378</f>
        <v>0</v>
      </c>
      <c r="AY378" s="104" t="s">
        <v>376</v>
      </c>
      <c r="AZ378" s="104" t="s">
        <v>114</v>
      </c>
      <c r="BA378" s="87" t="s">
        <v>870</v>
      </c>
      <c r="BC378" s="102">
        <f>AW378+AX378</f>
        <v>0</v>
      </c>
      <c r="BD378" s="102">
        <f>G378/(100-BE378)*100</f>
        <v>0</v>
      </c>
      <c r="BE378" s="102">
        <v>0</v>
      </c>
      <c r="BF378" s="102">
        <f>378</f>
        <v>378</v>
      </c>
      <c r="BH378" s="102">
        <f>F378*AO378</f>
        <v>0</v>
      </c>
      <c r="BI378" s="102">
        <f>F378*AP378</f>
        <v>0</v>
      </c>
      <c r="BJ378" s="102">
        <f>F378*G378</f>
        <v>0</v>
      </c>
      <c r="BK378" s="102"/>
      <c r="BL378" s="102"/>
      <c r="BW378" s="102">
        <v>21</v>
      </c>
    </row>
    <row r="379" spans="1:75" ht="15">
      <c r="A379" s="23" t="s">
        <v>208</v>
      </c>
      <c r="B379" s="19" t="s">
        <v>343</v>
      </c>
      <c r="C379" s="135" t="s">
        <v>786</v>
      </c>
      <c r="D379" s="135"/>
      <c r="E379" s="19" t="s">
        <v>415</v>
      </c>
      <c r="F379" s="102">
        <f>'Stavební rozpočet'!F379</f>
        <v>11.73</v>
      </c>
      <c r="G379" s="214">
        <f>'Stavební rozpočet'!G379</f>
        <v>0</v>
      </c>
      <c r="H379" s="102">
        <f>F379*AO379</f>
        <v>0</v>
      </c>
      <c r="I379" s="102">
        <f>F379*AP379</f>
        <v>0</v>
      </c>
      <c r="J379" s="102">
        <f>F379*G379</f>
        <v>0</v>
      </c>
      <c r="K379" s="103" t="s">
        <v>406</v>
      </c>
      <c r="Z379" s="102">
        <f>IF(AQ379="5",BJ379,0)</f>
        <v>0</v>
      </c>
      <c r="AB379" s="102">
        <f>IF(AQ379="1",BH379,0)</f>
        <v>0</v>
      </c>
      <c r="AC379" s="102">
        <f>IF(AQ379="1",BI379,0)</f>
        <v>0</v>
      </c>
      <c r="AD379" s="102">
        <f>IF(AQ379="7",BH379,0)</f>
        <v>0</v>
      </c>
      <c r="AE379" s="102">
        <f>IF(AQ379="7",BI379,0)</f>
        <v>0</v>
      </c>
      <c r="AF379" s="102">
        <f>IF(AQ379="2",BH379,0)</f>
        <v>0</v>
      </c>
      <c r="AG379" s="102">
        <f>IF(AQ379="2",BI379,0)</f>
        <v>0</v>
      </c>
      <c r="AH379" s="102">
        <f>IF(AQ379="0",BJ379,0)</f>
        <v>0</v>
      </c>
      <c r="AI379" s="87" t="s">
        <v>566</v>
      </c>
      <c r="AJ379" s="102">
        <f>IF(AN379=0,J379,0)</f>
        <v>0</v>
      </c>
      <c r="AK379" s="102">
        <f>IF(AN379=12,J379,0)</f>
        <v>0</v>
      </c>
      <c r="AL379" s="102">
        <f>IF(AN379=21,J379,0)</f>
        <v>0</v>
      </c>
      <c r="AN379" s="102">
        <v>21</v>
      </c>
      <c r="AO379" s="102">
        <f>G379*0</f>
        <v>0</v>
      </c>
      <c r="AP379" s="102">
        <f>G379*(1-0)</f>
        <v>0</v>
      </c>
      <c r="AQ379" s="104" t="s">
        <v>461</v>
      </c>
      <c r="AV379" s="102">
        <f>AW379+AX379</f>
        <v>0</v>
      </c>
      <c r="AW379" s="102">
        <f>F379*AO379</f>
        <v>0</v>
      </c>
      <c r="AX379" s="102">
        <f>F379*AP379</f>
        <v>0</v>
      </c>
      <c r="AY379" s="104" t="s">
        <v>376</v>
      </c>
      <c r="AZ379" s="104" t="s">
        <v>114</v>
      </c>
      <c r="BA379" s="87" t="s">
        <v>870</v>
      </c>
      <c r="BC379" s="102">
        <f>AW379+AX379</f>
        <v>0</v>
      </c>
      <c r="BD379" s="102">
        <f>G379/(100-BE379)*100</f>
        <v>0</v>
      </c>
      <c r="BE379" s="102">
        <v>0</v>
      </c>
      <c r="BF379" s="102">
        <f>379</f>
        <v>379</v>
      </c>
      <c r="BH379" s="102">
        <f>F379*AO379</f>
        <v>0</v>
      </c>
      <c r="BI379" s="102">
        <f>F379*AP379</f>
        <v>0</v>
      </c>
      <c r="BJ379" s="102">
        <f>F379*G379</f>
        <v>0</v>
      </c>
      <c r="BK379" s="102"/>
      <c r="BL379" s="102"/>
      <c r="BW379" s="102">
        <v>21</v>
      </c>
    </row>
    <row r="380" spans="1:75" ht="15">
      <c r="A380" s="23" t="s">
        <v>110</v>
      </c>
      <c r="B380" s="19" t="s">
        <v>265</v>
      </c>
      <c r="C380" s="135" t="s">
        <v>241</v>
      </c>
      <c r="D380" s="135"/>
      <c r="E380" s="19" t="s">
        <v>415</v>
      </c>
      <c r="F380" s="102">
        <f>'Stavební rozpočet'!F380</f>
        <v>35.99</v>
      </c>
      <c r="G380" s="214">
        <f>'Stavební rozpočet'!G380</f>
        <v>0</v>
      </c>
      <c r="H380" s="102">
        <f>F380*AO380</f>
        <v>0</v>
      </c>
      <c r="I380" s="102">
        <f>F380*AP380</f>
        <v>0</v>
      </c>
      <c r="J380" s="102">
        <f>F380*G380</f>
        <v>0</v>
      </c>
      <c r="K380" s="103" t="s">
        <v>406</v>
      </c>
      <c r="Z380" s="102">
        <f>IF(AQ380="5",BJ380,0)</f>
        <v>0</v>
      </c>
      <c r="AB380" s="102">
        <f>IF(AQ380="1",BH380,0)</f>
        <v>0</v>
      </c>
      <c r="AC380" s="102">
        <f>IF(AQ380="1",BI380,0)</f>
        <v>0</v>
      </c>
      <c r="AD380" s="102">
        <f>IF(AQ380="7",BH380,0)</f>
        <v>0</v>
      </c>
      <c r="AE380" s="102">
        <f>IF(AQ380="7",BI380,0)</f>
        <v>0</v>
      </c>
      <c r="AF380" s="102">
        <f>IF(AQ380="2",BH380,0)</f>
        <v>0</v>
      </c>
      <c r="AG380" s="102">
        <f>IF(AQ380="2",BI380,0)</f>
        <v>0</v>
      </c>
      <c r="AH380" s="102">
        <f>IF(AQ380="0",BJ380,0)</f>
        <v>0</v>
      </c>
      <c r="AI380" s="87" t="s">
        <v>566</v>
      </c>
      <c r="AJ380" s="102">
        <f>IF(AN380=0,J380,0)</f>
        <v>0</v>
      </c>
      <c r="AK380" s="102">
        <f>IF(AN380=12,J380,0)</f>
        <v>0</v>
      </c>
      <c r="AL380" s="102">
        <f>IF(AN380=21,J380,0)</f>
        <v>0</v>
      </c>
      <c r="AN380" s="102">
        <v>21</v>
      </c>
      <c r="AO380" s="102">
        <f>G380*0</f>
        <v>0</v>
      </c>
      <c r="AP380" s="102">
        <f>G380*(1-0)</f>
        <v>0</v>
      </c>
      <c r="AQ380" s="104" t="s">
        <v>461</v>
      </c>
      <c r="AV380" s="102">
        <f>AW380+AX380</f>
        <v>0</v>
      </c>
      <c r="AW380" s="102">
        <f>F380*AO380</f>
        <v>0</v>
      </c>
      <c r="AX380" s="102">
        <f>F380*AP380</f>
        <v>0</v>
      </c>
      <c r="AY380" s="104" t="s">
        <v>376</v>
      </c>
      <c r="AZ380" s="104" t="s">
        <v>114</v>
      </c>
      <c r="BA380" s="87" t="s">
        <v>870</v>
      </c>
      <c r="BC380" s="102">
        <f>AW380+AX380</f>
        <v>0</v>
      </c>
      <c r="BD380" s="102">
        <f>G380/(100-BE380)*100</f>
        <v>0</v>
      </c>
      <c r="BE380" s="102">
        <v>0</v>
      </c>
      <c r="BF380" s="102">
        <f>380</f>
        <v>380</v>
      </c>
      <c r="BH380" s="102">
        <f>F380*AO380</f>
        <v>0</v>
      </c>
      <c r="BI380" s="102">
        <f>F380*AP380</f>
        <v>0</v>
      </c>
      <c r="BJ380" s="102">
        <f>F380*G380</f>
        <v>0</v>
      </c>
      <c r="BK380" s="102"/>
      <c r="BL380" s="102"/>
      <c r="BW380" s="102">
        <v>21</v>
      </c>
    </row>
    <row r="381" spans="1:75" ht="15">
      <c r="A381" s="114" t="s">
        <v>136</v>
      </c>
      <c r="B381" s="46" t="s">
        <v>484</v>
      </c>
      <c r="C381" s="205" t="s">
        <v>781</v>
      </c>
      <c r="D381" s="205"/>
      <c r="E381" s="46" t="s">
        <v>415</v>
      </c>
      <c r="F381" s="115">
        <f>'Stavební rozpočet'!F381</f>
        <v>5</v>
      </c>
      <c r="G381" s="217">
        <f>'Stavební rozpočet'!G381</f>
        <v>0</v>
      </c>
      <c r="H381" s="115">
        <f>F381*AO381</f>
        <v>0</v>
      </c>
      <c r="I381" s="115">
        <f>F381*AP381</f>
        <v>0</v>
      </c>
      <c r="J381" s="115">
        <f>F381*G381</f>
        <v>0</v>
      </c>
      <c r="K381" s="116" t="s">
        <v>406</v>
      </c>
      <c r="Z381" s="102">
        <f>IF(AQ381="5",BJ381,0)</f>
        <v>0</v>
      </c>
      <c r="AB381" s="102">
        <f>IF(AQ381="1",BH381,0)</f>
        <v>0</v>
      </c>
      <c r="AC381" s="102">
        <f>IF(AQ381="1",BI381,0)</f>
        <v>0</v>
      </c>
      <c r="AD381" s="102">
        <f>IF(AQ381="7",BH381,0)</f>
        <v>0</v>
      </c>
      <c r="AE381" s="102">
        <f>IF(AQ381="7",BI381,0)</f>
        <v>0</v>
      </c>
      <c r="AF381" s="102">
        <f>IF(AQ381="2",BH381,0)</f>
        <v>0</v>
      </c>
      <c r="AG381" s="102">
        <f>IF(AQ381="2",BI381,0)</f>
        <v>0</v>
      </c>
      <c r="AH381" s="102">
        <f>IF(AQ381="0",BJ381,0)</f>
        <v>0</v>
      </c>
      <c r="AI381" s="87" t="s">
        <v>566</v>
      </c>
      <c r="AJ381" s="102">
        <f>IF(AN381=0,J381,0)</f>
        <v>0</v>
      </c>
      <c r="AK381" s="102">
        <f>IF(AN381=12,J381,0)</f>
        <v>0</v>
      </c>
      <c r="AL381" s="102">
        <f>IF(AN381=21,J381,0)</f>
        <v>0</v>
      </c>
      <c r="AN381" s="102">
        <v>21</v>
      </c>
      <c r="AO381" s="102">
        <f>G381*0</f>
        <v>0</v>
      </c>
      <c r="AP381" s="102">
        <f>G381*(1-0)</f>
        <v>0</v>
      </c>
      <c r="AQ381" s="104" t="s">
        <v>461</v>
      </c>
      <c r="AV381" s="102">
        <f>AW381+AX381</f>
        <v>0</v>
      </c>
      <c r="AW381" s="102">
        <f>F381*AO381</f>
        <v>0</v>
      </c>
      <c r="AX381" s="102">
        <f>F381*AP381</f>
        <v>0</v>
      </c>
      <c r="AY381" s="104" t="s">
        <v>376</v>
      </c>
      <c r="AZ381" s="104" t="s">
        <v>114</v>
      </c>
      <c r="BA381" s="87" t="s">
        <v>870</v>
      </c>
      <c r="BC381" s="102">
        <f>AW381+AX381</f>
        <v>0</v>
      </c>
      <c r="BD381" s="102">
        <f>G381/(100-BE381)*100</f>
        <v>0</v>
      </c>
      <c r="BE381" s="102">
        <v>0</v>
      </c>
      <c r="BF381" s="102">
        <f>381</f>
        <v>381</v>
      </c>
      <c r="BH381" s="102">
        <f>F381*AO381</f>
        <v>0</v>
      </c>
      <c r="BI381" s="102">
        <f>F381*AP381</f>
        <v>0</v>
      </c>
      <c r="BJ381" s="102">
        <f>F381*G381</f>
        <v>0</v>
      </c>
      <c r="BK381" s="102"/>
      <c r="BL381" s="102"/>
      <c r="BW381" s="102">
        <v>21</v>
      </c>
    </row>
    <row r="382" spans="8:10" ht="15">
      <c r="H382" s="194" t="s">
        <v>668</v>
      </c>
      <c r="I382" s="194"/>
      <c r="J382" s="117">
        <f>J13+J19+J27+J30+J38+J58+J68+J174+J243+J270+J279+J284+J293+J320+J335+J343+J350+J352+J357+J366</f>
        <v>0</v>
      </c>
    </row>
    <row r="383" ht="45">
      <c r="A383" s="118" t="s">
        <v>83</v>
      </c>
    </row>
    <row r="384" spans="1:11" ht="50.25" customHeight="1">
      <c r="A384" s="135" t="s">
        <v>883</v>
      </c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</row>
  </sheetData>
  <sheetProtection password="C6FC" sheet="1"/>
  <mergeCells count="196">
    <mergeCell ref="H382:I382"/>
    <mergeCell ref="A384:K384"/>
    <mergeCell ref="C374:D374"/>
    <mergeCell ref="C376:D376"/>
    <mergeCell ref="C378:D378"/>
    <mergeCell ref="C379:D379"/>
    <mergeCell ref="C380:D380"/>
    <mergeCell ref="C381:D381"/>
    <mergeCell ref="C364:K364"/>
    <mergeCell ref="C366:D366"/>
    <mergeCell ref="C367:D367"/>
    <mergeCell ref="C368:D368"/>
    <mergeCell ref="C370:D370"/>
    <mergeCell ref="C372:D372"/>
    <mergeCell ref="C355:D355"/>
    <mergeCell ref="C357:D357"/>
    <mergeCell ref="C358:D358"/>
    <mergeCell ref="C359:K359"/>
    <mergeCell ref="C361:D361"/>
    <mergeCell ref="C363:D363"/>
    <mergeCell ref="C344:D344"/>
    <mergeCell ref="C347:D347"/>
    <mergeCell ref="C350:D350"/>
    <mergeCell ref="C351:D351"/>
    <mergeCell ref="C352:D352"/>
    <mergeCell ref="C353:D353"/>
    <mergeCell ref="C331:D331"/>
    <mergeCell ref="C333:D333"/>
    <mergeCell ref="C335:D335"/>
    <mergeCell ref="C336:D336"/>
    <mergeCell ref="C339:D339"/>
    <mergeCell ref="C343:D343"/>
    <mergeCell ref="C320:D320"/>
    <mergeCell ref="C321:D321"/>
    <mergeCell ref="C323:D323"/>
    <mergeCell ref="C325:D325"/>
    <mergeCell ref="C327:D327"/>
    <mergeCell ref="C329:D329"/>
    <mergeCell ref="C308:D308"/>
    <mergeCell ref="C310:D310"/>
    <mergeCell ref="C312:D312"/>
    <mergeCell ref="C314:D314"/>
    <mergeCell ref="C316:D316"/>
    <mergeCell ref="C318:D318"/>
    <mergeCell ref="C296:D296"/>
    <mergeCell ref="C298:D298"/>
    <mergeCell ref="C300:D300"/>
    <mergeCell ref="C302:D302"/>
    <mergeCell ref="C304:D304"/>
    <mergeCell ref="C306:D306"/>
    <mergeCell ref="C285:D285"/>
    <mergeCell ref="C286:K286"/>
    <mergeCell ref="C288:D288"/>
    <mergeCell ref="C290:D290"/>
    <mergeCell ref="C293:D293"/>
    <mergeCell ref="C294:D294"/>
    <mergeCell ref="C275:D275"/>
    <mergeCell ref="C277:D277"/>
    <mergeCell ref="C279:D279"/>
    <mergeCell ref="C280:D280"/>
    <mergeCell ref="C282:D282"/>
    <mergeCell ref="C284:D284"/>
    <mergeCell ref="C259:D259"/>
    <mergeCell ref="C266:D266"/>
    <mergeCell ref="C269:D269"/>
    <mergeCell ref="C270:D270"/>
    <mergeCell ref="C271:D271"/>
    <mergeCell ref="C273:D273"/>
    <mergeCell ref="C243:D243"/>
    <mergeCell ref="C244:D244"/>
    <mergeCell ref="C247:D247"/>
    <mergeCell ref="C250:D250"/>
    <mergeCell ref="C254:D254"/>
    <mergeCell ref="C255:K255"/>
    <mergeCell ref="C230:D230"/>
    <mergeCell ref="C232:D232"/>
    <mergeCell ref="C234:D234"/>
    <mergeCell ref="C237:D237"/>
    <mergeCell ref="C240:D240"/>
    <mergeCell ref="C242:D242"/>
    <mergeCell ref="C217:D217"/>
    <mergeCell ref="C219:D219"/>
    <mergeCell ref="C221:D221"/>
    <mergeCell ref="C224:D224"/>
    <mergeCell ref="C226:D226"/>
    <mergeCell ref="C228:D228"/>
    <mergeCell ref="C206:D206"/>
    <mergeCell ref="C207:K207"/>
    <mergeCell ref="C209:D209"/>
    <mergeCell ref="C210:K210"/>
    <mergeCell ref="C214:D214"/>
    <mergeCell ref="C215:K215"/>
    <mergeCell ref="C184:D184"/>
    <mergeCell ref="C186:D186"/>
    <mergeCell ref="C198:D198"/>
    <mergeCell ref="C200:D200"/>
    <mergeCell ref="C202:D202"/>
    <mergeCell ref="C203:K203"/>
    <mergeCell ref="C173:D173"/>
    <mergeCell ref="C174:D174"/>
    <mergeCell ref="C175:D175"/>
    <mergeCell ref="C177:D177"/>
    <mergeCell ref="C179:D179"/>
    <mergeCell ref="C182:D182"/>
    <mergeCell ref="C125:D125"/>
    <mergeCell ref="C126:K126"/>
    <mergeCell ref="C136:D136"/>
    <mergeCell ref="C164:D164"/>
    <mergeCell ref="C167:D167"/>
    <mergeCell ref="C170:D170"/>
    <mergeCell ref="C113:D113"/>
    <mergeCell ref="C114:K114"/>
    <mergeCell ref="C117:D117"/>
    <mergeCell ref="C118:K118"/>
    <mergeCell ref="C121:D121"/>
    <mergeCell ref="C122:K122"/>
    <mergeCell ref="C102:D102"/>
    <mergeCell ref="C103:K103"/>
    <mergeCell ref="C105:D105"/>
    <mergeCell ref="C107:D107"/>
    <mergeCell ref="C109:D109"/>
    <mergeCell ref="C111:D111"/>
    <mergeCell ref="C88:K88"/>
    <mergeCell ref="C91:D91"/>
    <mergeCell ref="C93:D93"/>
    <mergeCell ref="C95:D95"/>
    <mergeCell ref="C97:D97"/>
    <mergeCell ref="C99:D99"/>
    <mergeCell ref="C69:D69"/>
    <mergeCell ref="C72:D72"/>
    <mergeCell ref="C74:D74"/>
    <mergeCell ref="C78:D78"/>
    <mergeCell ref="C82:D82"/>
    <mergeCell ref="C87:D87"/>
    <mergeCell ref="C59:D59"/>
    <mergeCell ref="C60:K60"/>
    <mergeCell ref="C64:D64"/>
    <mergeCell ref="C65:K65"/>
    <mergeCell ref="C67:D67"/>
    <mergeCell ref="C68:D68"/>
    <mergeCell ref="C50:D50"/>
    <mergeCell ref="C51:K51"/>
    <mergeCell ref="C53:D53"/>
    <mergeCell ref="C54:K54"/>
    <mergeCell ref="C56:D56"/>
    <mergeCell ref="C58:D58"/>
    <mergeCell ref="C38:D38"/>
    <mergeCell ref="C39:D39"/>
    <mergeCell ref="C41:D41"/>
    <mergeCell ref="C42:K42"/>
    <mergeCell ref="C44:D44"/>
    <mergeCell ref="C47:D47"/>
    <mergeCell ref="C28:D28"/>
    <mergeCell ref="C30:D30"/>
    <mergeCell ref="C31:D31"/>
    <mergeCell ref="C32:K32"/>
    <mergeCell ref="C35:D35"/>
    <mergeCell ref="C36:K36"/>
    <mergeCell ref="C19:D19"/>
    <mergeCell ref="C20:D20"/>
    <mergeCell ref="C22:D22"/>
    <mergeCell ref="C24:D24"/>
    <mergeCell ref="C25:K25"/>
    <mergeCell ref="C27:D27"/>
    <mergeCell ref="C11:D11"/>
    <mergeCell ref="H10:J10"/>
    <mergeCell ref="C12:D12"/>
    <mergeCell ref="C13:D13"/>
    <mergeCell ref="C14:D14"/>
    <mergeCell ref="C15:K15"/>
    <mergeCell ref="I2:K3"/>
    <mergeCell ref="I4:K5"/>
    <mergeCell ref="I6:K7"/>
    <mergeCell ref="I8:K9"/>
    <mergeCell ref="C10:D10"/>
    <mergeCell ref="H4:H5"/>
    <mergeCell ref="H6:H7"/>
    <mergeCell ref="H8:H9"/>
    <mergeCell ref="C2:D3"/>
    <mergeCell ref="C4:D5"/>
    <mergeCell ref="C6:D7"/>
    <mergeCell ref="C8:D9"/>
    <mergeCell ref="G2:G3"/>
    <mergeCell ref="G4:G5"/>
    <mergeCell ref="G6:G7"/>
    <mergeCell ref="G8:G9"/>
    <mergeCell ref="A1:K1"/>
    <mergeCell ref="A2:B3"/>
    <mergeCell ref="A4:B5"/>
    <mergeCell ref="A6:B7"/>
    <mergeCell ref="A8:B9"/>
    <mergeCell ref="E2:F3"/>
    <mergeCell ref="E4:F5"/>
    <mergeCell ref="E6:F7"/>
    <mergeCell ref="E8:F9"/>
    <mergeCell ref="H2:H3"/>
  </mergeCells>
  <printOptions/>
  <pageMargins left="0.394" right="0.394" top="0.591" bottom="0.591" header="0" footer="0"/>
  <pageSetup firstPageNumber="0" useFirstPageNumber="1" fitToHeight="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5"/>
  <sheetViews>
    <sheetView showOutlineSymbols="0" zoomScalePageLayoutView="0" workbookViewId="0" topLeftCell="A1">
      <pane ySplit="11" topLeftCell="A30" activePane="bottomLeft" state="frozen"/>
      <selection pane="topLeft" activeCell="A55" sqref="A55:L55"/>
      <selection pane="bottomLeft" activeCell="G37" sqref="G37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2.83203125" style="0" customWidth="1"/>
    <col min="4" max="4" width="49.5" style="0" customWidth="1"/>
    <col min="5" max="5" width="5" style="0" customWidth="1"/>
    <col min="6" max="6" width="15" style="0" customWidth="1"/>
    <col min="7" max="7" width="14" style="0" customWidth="1"/>
    <col min="8" max="9" width="18.33203125" style="0" hidden="1" customWidth="1"/>
    <col min="10" max="10" width="18.33203125" style="0" customWidth="1"/>
    <col min="11" max="11" width="15.66015625" style="0" customWidth="1"/>
    <col min="12" max="24" width="14.16015625" style="0" customWidth="1"/>
    <col min="25" max="75" width="14.16015625" style="0" hidden="1" customWidth="1"/>
  </cols>
  <sheetData>
    <row r="1" spans="1:47" ht="54.75" customHeight="1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AS1" s="68">
        <f>SUM(AJ1:AJ2)</f>
        <v>0</v>
      </c>
      <c r="AT1" s="68">
        <f>SUM(AK1:AK2)</f>
        <v>0</v>
      </c>
      <c r="AU1" s="68">
        <f>SUM(AL1:AL2)</f>
        <v>0</v>
      </c>
    </row>
    <row r="2" spans="1:12" ht="15" customHeight="1" hidden="1">
      <c r="A2" s="127" t="s">
        <v>68</v>
      </c>
      <c r="B2" s="128"/>
      <c r="C2" s="136" t="str">
        <f>'Stavební rozpočet'!C2</f>
        <v>Kaple sv.Cyrila a Metoděje</v>
      </c>
      <c r="D2" s="137"/>
      <c r="E2" s="137"/>
      <c r="F2" s="137"/>
      <c r="G2" s="128" t="s">
        <v>6</v>
      </c>
      <c r="H2" s="128"/>
      <c r="I2" s="134" t="str">
        <f>'Stavební rozpočet'!G2</f>
        <v> </v>
      </c>
      <c r="J2" s="134" t="s">
        <v>707</v>
      </c>
      <c r="K2" s="134" t="str">
        <f>'Stavební rozpočet'!I2</f>
        <v>Statutární město Opava</v>
      </c>
      <c r="L2" s="139"/>
    </row>
    <row r="3" spans="1:12" ht="15" customHeight="1" hidden="1">
      <c r="A3" s="129"/>
      <c r="B3" s="130"/>
      <c r="C3" s="138"/>
      <c r="D3" s="138"/>
      <c r="E3" s="138"/>
      <c r="F3" s="138"/>
      <c r="G3" s="130"/>
      <c r="H3" s="130"/>
      <c r="I3" s="130"/>
      <c r="J3" s="130"/>
      <c r="K3" s="130"/>
      <c r="L3" s="140"/>
    </row>
    <row r="4" spans="1:12" ht="15" customHeight="1" hidden="1">
      <c r="A4" s="131" t="s">
        <v>466</v>
      </c>
      <c r="B4" s="130"/>
      <c r="C4" s="135" t="str">
        <f>'Stavební rozpočet'!C4</f>
        <v>Církevní stavba</v>
      </c>
      <c r="D4" s="130"/>
      <c r="E4" s="130"/>
      <c r="F4" s="130"/>
      <c r="G4" s="130" t="s">
        <v>745</v>
      </c>
      <c r="H4" s="130"/>
      <c r="I4" s="135" t="str">
        <f>'Stavební rozpočet'!G4</f>
        <v> </v>
      </c>
      <c r="J4" s="135" t="s">
        <v>575</v>
      </c>
      <c r="K4" s="135" t="str">
        <f>'Stavební rozpočet'!I4</f>
        <v>Radek Vašenda, DiS</v>
      </c>
      <c r="L4" s="140"/>
    </row>
    <row r="5" spans="1:12" ht="15" customHeight="1" hidden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40"/>
    </row>
    <row r="6" spans="1:12" ht="15" customHeight="1" hidden="1">
      <c r="A6" s="131" t="s">
        <v>85</v>
      </c>
      <c r="B6" s="130"/>
      <c r="C6" s="135" t="str">
        <f>'Stavební rozpočet'!C6</f>
        <v>Milostovice</v>
      </c>
      <c r="D6" s="130"/>
      <c r="E6" s="130"/>
      <c r="F6" s="130"/>
      <c r="G6" s="130" t="s">
        <v>300</v>
      </c>
      <c r="H6" s="130"/>
      <c r="I6" s="135" t="str">
        <f>'Stavební rozpočet'!G6</f>
        <v> </v>
      </c>
      <c r="J6" s="135" t="s">
        <v>730</v>
      </c>
      <c r="K6" s="135" t="str">
        <f>'Stavební rozpočet'!I6</f>
        <v>Dle výběru investora</v>
      </c>
      <c r="L6" s="140"/>
    </row>
    <row r="7" spans="1:12" ht="15" customHeight="1" hidden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40"/>
    </row>
    <row r="8" spans="1:12" ht="15" customHeight="1" hidden="1">
      <c r="A8" s="131" t="s">
        <v>434</v>
      </c>
      <c r="B8" s="130"/>
      <c r="C8" s="135" t="str">
        <f>'Stavební rozpočet'!C8</f>
        <v>8014712</v>
      </c>
      <c r="D8" s="130"/>
      <c r="E8" s="130"/>
      <c r="F8" s="130"/>
      <c r="G8" s="130" t="s">
        <v>483</v>
      </c>
      <c r="H8" s="130"/>
      <c r="I8" s="135" t="str">
        <f>'Stavební rozpočet'!G8</f>
        <v>01.12.2023</v>
      </c>
      <c r="J8" s="135" t="s">
        <v>559</v>
      </c>
      <c r="K8" s="135" t="str">
        <f>'Stavební rozpočet'!I8</f>
        <v>Ing.Lucie Szöke</v>
      </c>
      <c r="L8" s="140"/>
    </row>
    <row r="9" spans="1:12" ht="15" customHeight="1" hidden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43"/>
    </row>
    <row r="10" spans="1:75" ht="15" customHeight="1">
      <c r="A10" s="54" t="s">
        <v>74</v>
      </c>
      <c r="B10" s="51" t="s">
        <v>306</v>
      </c>
      <c r="C10" s="206" t="s">
        <v>897</v>
      </c>
      <c r="D10" s="207"/>
      <c r="E10" s="51" t="s">
        <v>322</v>
      </c>
      <c r="F10" s="2" t="s">
        <v>506</v>
      </c>
      <c r="G10" s="65" t="s">
        <v>297</v>
      </c>
      <c r="H10" s="188" t="s">
        <v>536</v>
      </c>
      <c r="I10" s="189"/>
      <c r="J10" s="190"/>
      <c r="K10" s="9" t="s">
        <v>253</v>
      </c>
      <c r="L10" s="32"/>
      <c r="BK10" s="52" t="s">
        <v>365</v>
      </c>
      <c r="BL10" s="80" t="s">
        <v>455</v>
      </c>
      <c r="BW10" s="80" t="s">
        <v>916</v>
      </c>
    </row>
    <row r="11" spans="1:62" ht="15" customHeight="1">
      <c r="A11" s="38" t="s">
        <v>774</v>
      </c>
      <c r="B11" s="59" t="s">
        <v>774</v>
      </c>
      <c r="C11" s="187" t="s">
        <v>834</v>
      </c>
      <c r="D11" s="208"/>
      <c r="E11" s="59" t="s">
        <v>774</v>
      </c>
      <c r="F11" s="59" t="s">
        <v>774</v>
      </c>
      <c r="G11" s="44" t="s">
        <v>794</v>
      </c>
      <c r="H11" s="64" t="s">
        <v>54</v>
      </c>
      <c r="I11" s="34" t="s">
        <v>171</v>
      </c>
      <c r="J11" s="5" t="s">
        <v>96</v>
      </c>
      <c r="K11" s="5" t="s">
        <v>235</v>
      </c>
      <c r="L11" s="32"/>
      <c r="Z11" s="52" t="s">
        <v>656</v>
      </c>
      <c r="AA11" s="52" t="s">
        <v>519</v>
      </c>
      <c r="AB11" s="52" t="s">
        <v>857</v>
      </c>
      <c r="AC11" s="52" t="s">
        <v>262</v>
      </c>
      <c r="AD11" s="52" t="s">
        <v>713</v>
      </c>
      <c r="AE11" s="52" t="s">
        <v>341</v>
      </c>
      <c r="AF11" s="52" t="s">
        <v>753</v>
      </c>
      <c r="AG11" s="52" t="s">
        <v>394</v>
      </c>
      <c r="AH11" s="52" t="s">
        <v>245</v>
      </c>
      <c r="BH11" s="52" t="s">
        <v>657</v>
      </c>
      <c r="BI11" s="52" t="s">
        <v>844</v>
      </c>
      <c r="BJ11" s="52" t="s">
        <v>908</v>
      </c>
    </row>
    <row r="12" spans="1:12" ht="15" customHeight="1">
      <c r="A12" s="29" t="s">
        <v>577</v>
      </c>
      <c r="B12" s="70" t="s">
        <v>577</v>
      </c>
      <c r="C12" s="200" t="s">
        <v>590</v>
      </c>
      <c r="D12" s="209"/>
      <c r="E12" s="69" t="s">
        <v>774</v>
      </c>
      <c r="F12" s="69" t="s">
        <v>774</v>
      </c>
      <c r="G12" s="69" t="s">
        <v>774</v>
      </c>
      <c r="H12" s="67">
        <f>H13</f>
        <v>0</v>
      </c>
      <c r="I12" s="67">
        <f>I13</f>
        <v>0</v>
      </c>
      <c r="J12" s="67">
        <f>J13</f>
        <v>0</v>
      </c>
      <c r="K12" s="76" t="s">
        <v>577</v>
      </c>
      <c r="L12" s="32"/>
    </row>
    <row r="13" spans="1:47" ht="15" customHeight="1">
      <c r="A13" s="17" t="s">
        <v>577</v>
      </c>
      <c r="B13" s="20" t="s">
        <v>577</v>
      </c>
      <c r="C13" s="201" t="s">
        <v>159</v>
      </c>
      <c r="D13" s="210"/>
      <c r="E13" s="14" t="s">
        <v>774</v>
      </c>
      <c r="F13" s="14" t="s">
        <v>774</v>
      </c>
      <c r="G13" s="14" t="s">
        <v>774</v>
      </c>
      <c r="H13" s="68">
        <f>SUM(H14:H51)</f>
        <v>0</v>
      </c>
      <c r="I13" s="68">
        <f>SUM(I14:I51)</f>
        <v>0</v>
      </c>
      <c r="J13" s="68">
        <f>SUM(J14:J51)</f>
        <v>0</v>
      </c>
      <c r="K13" s="52" t="s">
        <v>577</v>
      </c>
      <c r="L13" s="32"/>
      <c r="AI13" s="52" t="s">
        <v>901</v>
      </c>
      <c r="AS13" s="68">
        <f>SUM(AJ14:AJ51)</f>
        <v>0</v>
      </c>
      <c r="AT13" s="68">
        <f>SUM(AK14:AK51)</f>
        <v>0</v>
      </c>
      <c r="AU13" s="68">
        <f>SUM(AL14:AL51)</f>
        <v>0</v>
      </c>
    </row>
    <row r="14" spans="1:75" ht="13.5" customHeight="1">
      <c r="A14" s="7" t="s">
        <v>829</v>
      </c>
      <c r="B14" s="11" t="s">
        <v>708</v>
      </c>
      <c r="C14" s="135" t="s">
        <v>500</v>
      </c>
      <c r="D14" s="130"/>
      <c r="E14" s="11" t="s">
        <v>695</v>
      </c>
      <c r="F14" s="15">
        <f>'Stavební rozpočet'!F384</f>
        <v>36</v>
      </c>
      <c r="G14" s="218">
        <v>0</v>
      </c>
      <c r="H14" s="15">
        <f aca="true" t="shared" si="0" ref="H14:H45">F14*AO14</f>
        <v>0</v>
      </c>
      <c r="I14" s="15">
        <f aca="true" t="shared" si="1" ref="I14:I45">F14*AP14</f>
        <v>0</v>
      </c>
      <c r="J14" s="15">
        <f aca="true" t="shared" si="2" ref="J14:J45">F14*G14</f>
        <v>0</v>
      </c>
      <c r="K14" s="1" t="s">
        <v>577</v>
      </c>
      <c r="L14" s="32"/>
      <c r="Z14" s="15">
        <f aca="true" t="shared" si="3" ref="Z14:Z45">IF(AQ14="5",BJ14,0)</f>
        <v>0</v>
      </c>
      <c r="AB14" s="15">
        <f aca="true" t="shared" si="4" ref="AB14:AB45">IF(AQ14="1",BH14,0)</f>
        <v>0</v>
      </c>
      <c r="AC14" s="15">
        <f aca="true" t="shared" si="5" ref="AC14:AC45">IF(AQ14="1",BI14,0)</f>
        <v>0</v>
      </c>
      <c r="AD14" s="15">
        <f aca="true" t="shared" si="6" ref="AD14:AD45">IF(AQ14="7",BH14,0)</f>
        <v>0</v>
      </c>
      <c r="AE14" s="15">
        <f aca="true" t="shared" si="7" ref="AE14:AE45">IF(AQ14="7",BI14,0)</f>
        <v>0</v>
      </c>
      <c r="AF14" s="15">
        <f aca="true" t="shared" si="8" ref="AF14:AF45">IF(AQ14="2",BH14,0)</f>
        <v>0</v>
      </c>
      <c r="AG14" s="15">
        <f aca="true" t="shared" si="9" ref="AG14:AG45">IF(AQ14="2",BI14,0)</f>
        <v>0</v>
      </c>
      <c r="AH14" s="15">
        <f aca="true" t="shared" si="10" ref="AH14:AH45">IF(AQ14="0",BJ14,0)</f>
        <v>0</v>
      </c>
      <c r="AI14" s="52" t="s">
        <v>901</v>
      </c>
      <c r="AJ14" s="15">
        <f aca="true" t="shared" si="11" ref="AJ14:AJ45">IF(AN14=0,J14,0)</f>
        <v>0</v>
      </c>
      <c r="AK14" s="15">
        <f aca="true" t="shared" si="12" ref="AK14:AK45">IF(AN14=12,J14,0)</f>
        <v>0</v>
      </c>
      <c r="AL14" s="15">
        <f aca="true" t="shared" si="13" ref="AL14:AL45">IF(AN14=21,J14,0)</f>
        <v>0</v>
      </c>
      <c r="AN14" s="15">
        <v>21</v>
      </c>
      <c r="AO14" s="15">
        <f aca="true" t="shared" si="14" ref="AO14:AO45">G14*0</f>
        <v>0</v>
      </c>
      <c r="AP14" s="15">
        <f aca="true" t="shared" si="15" ref="AP14:AP45">G14*(1-0)</f>
        <v>0</v>
      </c>
      <c r="AQ14" s="1" t="s">
        <v>829</v>
      </c>
      <c r="AV14" s="15">
        <f aca="true" t="shared" si="16" ref="AV14:AV45">AW14+AX14</f>
        <v>0</v>
      </c>
      <c r="AW14" s="15">
        <f aca="true" t="shared" si="17" ref="AW14:AW45">F14*AO14</f>
        <v>0</v>
      </c>
      <c r="AX14" s="15">
        <f aca="true" t="shared" si="18" ref="AX14:AX45">F14*AP14</f>
        <v>0</v>
      </c>
      <c r="AY14" s="1" t="s">
        <v>654</v>
      </c>
      <c r="AZ14" s="1" t="s">
        <v>299</v>
      </c>
      <c r="BA14" s="52" t="s">
        <v>56</v>
      </c>
      <c r="BC14" s="15">
        <f aca="true" t="shared" si="19" ref="BC14:BC45">AW14+AX14</f>
        <v>0</v>
      </c>
      <c r="BD14" s="15">
        <f aca="true" t="shared" si="20" ref="BD14:BD45">G14/(100-BE14)*100</f>
        <v>0</v>
      </c>
      <c r="BE14" s="15">
        <v>0</v>
      </c>
      <c r="BF14" s="15">
        <f>14</f>
        <v>14</v>
      </c>
      <c r="BH14" s="15">
        <f aca="true" t="shared" si="21" ref="BH14:BH45">F14*AO14</f>
        <v>0</v>
      </c>
      <c r="BI14" s="15">
        <f aca="true" t="shared" si="22" ref="BI14:BI45">F14*AP14</f>
        <v>0</v>
      </c>
      <c r="BJ14" s="15">
        <f aca="true" t="shared" si="23" ref="BJ14:BJ45">F14*G14</f>
        <v>0</v>
      </c>
      <c r="BK14" s="15"/>
      <c r="BL14" s="15"/>
      <c r="BW14" s="15">
        <v>21</v>
      </c>
    </row>
    <row r="15" spans="1:75" ht="13.5" customHeight="1">
      <c r="A15" s="7" t="s">
        <v>574</v>
      </c>
      <c r="B15" s="11" t="s">
        <v>552</v>
      </c>
      <c r="C15" s="135" t="s">
        <v>609</v>
      </c>
      <c r="D15" s="130"/>
      <c r="E15" s="11" t="s">
        <v>695</v>
      </c>
      <c r="F15" s="15">
        <f>'Stavební rozpočet'!F385</f>
        <v>120</v>
      </c>
      <c r="G15" s="218">
        <f>'Stavební rozpočet'!G385</f>
        <v>0</v>
      </c>
      <c r="H15" s="15">
        <f t="shared" si="0"/>
        <v>0</v>
      </c>
      <c r="I15" s="15">
        <f t="shared" si="1"/>
        <v>0</v>
      </c>
      <c r="J15" s="15">
        <f t="shared" si="2"/>
        <v>0</v>
      </c>
      <c r="K15" s="1" t="s">
        <v>577</v>
      </c>
      <c r="L15" s="32"/>
      <c r="Z15" s="15">
        <f t="shared" si="3"/>
        <v>0</v>
      </c>
      <c r="AB15" s="15">
        <f t="shared" si="4"/>
        <v>0</v>
      </c>
      <c r="AC15" s="15">
        <f t="shared" si="5"/>
        <v>0</v>
      </c>
      <c r="AD15" s="15">
        <f t="shared" si="6"/>
        <v>0</v>
      </c>
      <c r="AE15" s="15">
        <f t="shared" si="7"/>
        <v>0</v>
      </c>
      <c r="AF15" s="15">
        <f t="shared" si="8"/>
        <v>0</v>
      </c>
      <c r="AG15" s="15">
        <f t="shared" si="9"/>
        <v>0</v>
      </c>
      <c r="AH15" s="15">
        <f t="shared" si="10"/>
        <v>0</v>
      </c>
      <c r="AI15" s="52" t="s">
        <v>901</v>
      </c>
      <c r="AJ15" s="15">
        <f t="shared" si="11"/>
        <v>0</v>
      </c>
      <c r="AK15" s="15">
        <f t="shared" si="12"/>
        <v>0</v>
      </c>
      <c r="AL15" s="15">
        <f t="shared" si="13"/>
        <v>0</v>
      </c>
      <c r="AN15" s="15">
        <v>21</v>
      </c>
      <c r="AO15" s="15">
        <f t="shared" si="14"/>
        <v>0</v>
      </c>
      <c r="AP15" s="15">
        <f t="shared" si="15"/>
        <v>0</v>
      </c>
      <c r="AQ15" s="1" t="s">
        <v>829</v>
      </c>
      <c r="AV15" s="15">
        <f t="shared" si="16"/>
        <v>0</v>
      </c>
      <c r="AW15" s="15">
        <f t="shared" si="17"/>
        <v>0</v>
      </c>
      <c r="AX15" s="15">
        <f t="shared" si="18"/>
        <v>0</v>
      </c>
      <c r="AY15" s="1" t="s">
        <v>654</v>
      </c>
      <c r="AZ15" s="1" t="s">
        <v>299</v>
      </c>
      <c r="BA15" s="52" t="s">
        <v>56</v>
      </c>
      <c r="BC15" s="15">
        <f t="shared" si="19"/>
        <v>0</v>
      </c>
      <c r="BD15" s="15">
        <f t="shared" si="20"/>
        <v>0</v>
      </c>
      <c r="BE15" s="15">
        <v>0</v>
      </c>
      <c r="BF15" s="15">
        <f>15</f>
        <v>15</v>
      </c>
      <c r="BH15" s="15">
        <f t="shared" si="21"/>
        <v>0</v>
      </c>
      <c r="BI15" s="15">
        <f t="shared" si="22"/>
        <v>0</v>
      </c>
      <c r="BJ15" s="15">
        <f t="shared" si="23"/>
        <v>0</v>
      </c>
      <c r="BK15" s="15"/>
      <c r="BL15" s="15"/>
      <c r="BW15" s="15">
        <v>21</v>
      </c>
    </row>
    <row r="16" spans="1:75" ht="13.5" customHeight="1">
      <c r="A16" s="7" t="s">
        <v>724</v>
      </c>
      <c r="B16" s="11" t="s">
        <v>640</v>
      </c>
      <c r="C16" s="135" t="s">
        <v>172</v>
      </c>
      <c r="D16" s="130"/>
      <c r="E16" s="11" t="s">
        <v>581</v>
      </c>
      <c r="F16" s="15">
        <f>'Stavební rozpočet'!F386</f>
        <v>12</v>
      </c>
      <c r="G16" s="218">
        <f>'Stavební rozpočet'!G386</f>
        <v>0</v>
      </c>
      <c r="H16" s="15">
        <f t="shared" si="0"/>
        <v>0</v>
      </c>
      <c r="I16" s="15">
        <f t="shared" si="1"/>
        <v>0</v>
      </c>
      <c r="J16" s="15">
        <f t="shared" si="2"/>
        <v>0</v>
      </c>
      <c r="K16" s="1" t="s">
        <v>577</v>
      </c>
      <c r="L16" s="32"/>
      <c r="Z16" s="15">
        <f t="shared" si="3"/>
        <v>0</v>
      </c>
      <c r="AB16" s="15">
        <f t="shared" si="4"/>
        <v>0</v>
      </c>
      <c r="AC16" s="15">
        <f t="shared" si="5"/>
        <v>0</v>
      </c>
      <c r="AD16" s="15">
        <f t="shared" si="6"/>
        <v>0</v>
      </c>
      <c r="AE16" s="15">
        <f t="shared" si="7"/>
        <v>0</v>
      </c>
      <c r="AF16" s="15">
        <f t="shared" si="8"/>
        <v>0</v>
      </c>
      <c r="AG16" s="15">
        <f t="shared" si="9"/>
        <v>0</v>
      </c>
      <c r="AH16" s="15">
        <f t="shared" si="10"/>
        <v>0</v>
      </c>
      <c r="AI16" s="52" t="s">
        <v>901</v>
      </c>
      <c r="AJ16" s="15">
        <f t="shared" si="11"/>
        <v>0</v>
      </c>
      <c r="AK16" s="15">
        <f t="shared" si="12"/>
        <v>0</v>
      </c>
      <c r="AL16" s="15">
        <f t="shared" si="13"/>
        <v>0</v>
      </c>
      <c r="AN16" s="15">
        <v>21</v>
      </c>
      <c r="AO16" s="15">
        <f t="shared" si="14"/>
        <v>0</v>
      </c>
      <c r="AP16" s="15">
        <f t="shared" si="15"/>
        <v>0</v>
      </c>
      <c r="AQ16" s="1" t="s">
        <v>829</v>
      </c>
      <c r="AV16" s="15">
        <f t="shared" si="16"/>
        <v>0</v>
      </c>
      <c r="AW16" s="15">
        <f t="shared" si="17"/>
        <v>0</v>
      </c>
      <c r="AX16" s="15">
        <f t="shared" si="18"/>
        <v>0</v>
      </c>
      <c r="AY16" s="1" t="s">
        <v>654</v>
      </c>
      <c r="AZ16" s="1" t="s">
        <v>299</v>
      </c>
      <c r="BA16" s="52" t="s">
        <v>56</v>
      </c>
      <c r="BC16" s="15">
        <f t="shared" si="19"/>
        <v>0</v>
      </c>
      <c r="BD16" s="15">
        <f t="shared" si="20"/>
        <v>0</v>
      </c>
      <c r="BE16" s="15">
        <v>0</v>
      </c>
      <c r="BF16" s="15">
        <f>16</f>
        <v>16</v>
      </c>
      <c r="BH16" s="15">
        <f t="shared" si="21"/>
        <v>0</v>
      </c>
      <c r="BI16" s="15">
        <f t="shared" si="22"/>
        <v>0</v>
      </c>
      <c r="BJ16" s="15">
        <f t="shared" si="23"/>
        <v>0</v>
      </c>
      <c r="BK16" s="15"/>
      <c r="BL16" s="15"/>
      <c r="BW16" s="15">
        <v>21</v>
      </c>
    </row>
    <row r="17" spans="1:75" ht="13.5" customHeight="1">
      <c r="A17" s="7" t="s">
        <v>108</v>
      </c>
      <c r="B17" s="11" t="s">
        <v>362</v>
      </c>
      <c r="C17" s="135" t="s">
        <v>754</v>
      </c>
      <c r="D17" s="130"/>
      <c r="E17" s="11" t="s">
        <v>581</v>
      </c>
      <c r="F17" s="15">
        <f>'Stavební rozpočet'!F387</f>
        <v>7</v>
      </c>
      <c r="G17" s="218">
        <f>'Stavební rozpočet'!G387</f>
        <v>0</v>
      </c>
      <c r="H17" s="15">
        <f t="shared" si="0"/>
        <v>0</v>
      </c>
      <c r="I17" s="15">
        <f t="shared" si="1"/>
        <v>0</v>
      </c>
      <c r="J17" s="15">
        <f t="shared" si="2"/>
        <v>0</v>
      </c>
      <c r="K17" s="1" t="s">
        <v>577</v>
      </c>
      <c r="L17" s="32"/>
      <c r="Z17" s="15">
        <f t="shared" si="3"/>
        <v>0</v>
      </c>
      <c r="AB17" s="15">
        <f t="shared" si="4"/>
        <v>0</v>
      </c>
      <c r="AC17" s="15">
        <f t="shared" si="5"/>
        <v>0</v>
      </c>
      <c r="AD17" s="15">
        <f t="shared" si="6"/>
        <v>0</v>
      </c>
      <c r="AE17" s="15">
        <f t="shared" si="7"/>
        <v>0</v>
      </c>
      <c r="AF17" s="15">
        <f t="shared" si="8"/>
        <v>0</v>
      </c>
      <c r="AG17" s="15">
        <f t="shared" si="9"/>
        <v>0</v>
      </c>
      <c r="AH17" s="15">
        <f t="shared" si="10"/>
        <v>0</v>
      </c>
      <c r="AI17" s="52" t="s">
        <v>901</v>
      </c>
      <c r="AJ17" s="15">
        <f t="shared" si="11"/>
        <v>0</v>
      </c>
      <c r="AK17" s="15">
        <f t="shared" si="12"/>
        <v>0</v>
      </c>
      <c r="AL17" s="15">
        <f t="shared" si="13"/>
        <v>0</v>
      </c>
      <c r="AN17" s="15">
        <v>21</v>
      </c>
      <c r="AO17" s="15">
        <f t="shared" si="14"/>
        <v>0</v>
      </c>
      <c r="AP17" s="15">
        <f t="shared" si="15"/>
        <v>0</v>
      </c>
      <c r="AQ17" s="1" t="s">
        <v>829</v>
      </c>
      <c r="AV17" s="15">
        <f t="shared" si="16"/>
        <v>0</v>
      </c>
      <c r="AW17" s="15">
        <f t="shared" si="17"/>
        <v>0</v>
      </c>
      <c r="AX17" s="15">
        <f t="shared" si="18"/>
        <v>0</v>
      </c>
      <c r="AY17" s="1" t="s">
        <v>654</v>
      </c>
      <c r="AZ17" s="1" t="s">
        <v>299</v>
      </c>
      <c r="BA17" s="52" t="s">
        <v>56</v>
      </c>
      <c r="BC17" s="15">
        <f t="shared" si="19"/>
        <v>0</v>
      </c>
      <c r="BD17" s="15">
        <f t="shared" si="20"/>
        <v>0</v>
      </c>
      <c r="BE17" s="15">
        <v>0</v>
      </c>
      <c r="BF17" s="15">
        <f>17</f>
        <v>17</v>
      </c>
      <c r="BH17" s="15">
        <f t="shared" si="21"/>
        <v>0</v>
      </c>
      <c r="BI17" s="15">
        <f t="shared" si="22"/>
        <v>0</v>
      </c>
      <c r="BJ17" s="15">
        <f t="shared" si="23"/>
        <v>0</v>
      </c>
      <c r="BK17" s="15"/>
      <c r="BL17" s="15"/>
      <c r="BW17" s="15">
        <v>21</v>
      </c>
    </row>
    <row r="18" spans="1:75" ht="13.5" customHeight="1">
      <c r="A18" s="7" t="s">
        <v>461</v>
      </c>
      <c r="B18" s="11" t="s">
        <v>492</v>
      </c>
      <c r="C18" s="135" t="s">
        <v>46</v>
      </c>
      <c r="D18" s="130"/>
      <c r="E18" s="11" t="s">
        <v>581</v>
      </c>
      <c r="F18" s="15">
        <f>'Stavební rozpočet'!F388</f>
        <v>2</v>
      </c>
      <c r="G18" s="218">
        <f>'Stavební rozpočet'!G388</f>
        <v>0</v>
      </c>
      <c r="H18" s="15">
        <f t="shared" si="0"/>
        <v>0</v>
      </c>
      <c r="I18" s="15">
        <f t="shared" si="1"/>
        <v>0</v>
      </c>
      <c r="J18" s="15">
        <f t="shared" si="2"/>
        <v>0</v>
      </c>
      <c r="K18" s="1" t="s">
        <v>577</v>
      </c>
      <c r="L18" s="32"/>
      <c r="Z18" s="15">
        <f t="shared" si="3"/>
        <v>0</v>
      </c>
      <c r="AB18" s="15">
        <f t="shared" si="4"/>
        <v>0</v>
      </c>
      <c r="AC18" s="15">
        <f t="shared" si="5"/>
        <v>0</v>
      </c>
      <c r="AD18" s="15">
        <f t="shared" si="6"/>
        <v>0</v>
      </c>
      <c r="AE18" s="15">
        <f t="shared" si="7"/>
        <v>0</v>
      </c>
      <c r="AF18" s="15">
        <f t="shared" si="8"/>
        <v>0</v>
      </c>
      <c r="AG18" s="15">
        <f t="shared" si="9"/>
        <v>0</v>
      </c>
      <c r="AH18" s="15">
        <f t="shared" si="10"/>
        <v>0</v>
      </c>
      <c r="AI18" s="52" t="s">
        <v>901</v>
      </c>
      <c r="AJ18" s="15">
        <f t="shared" si="11"/>
        <v>0</v>
      </c>
      <c r="AK18" s="15">
        <f t="shared" si="12"/>
        <v>0</v>
      </c>
      <c r="AL18" s="15">
        <f t="shared" si="13"/>
        <v>0</v>
      </c>
      <c r="AN18" s="15">
        <v>21</v>
      </c>
      <c r="AO18" s="15">
        <f t="shared" si="14"/>
        <v>0</v>
      </c>
      <c r="AP18" s="15">
        <f t="shared" si="15"/>
        <v>0</v>
      </c>
      <c r="AQ18" s="1" t="s">
        <v>829</v>
      </c>
      <c r="AV18" s="15">
        <f t="shared" si="16"/>
        <v>0</v>
      </c>
      <c r="AW18" s="15">
        <f t="shared" si="17"/>
        <v>0</v>
      </c>
      <c r="AX18" s="15">
        <f t="shared" si="18"/>
        <v>0</v>
      </c>
      <c r="AY18" s="1" t="s">
        <v>654</v>
      </c>
      <c r="AZ18" s="1" t="s">
        <v>299</v>
      </c>
      <c r="BA18" s="52" t="s">
        <v>56</v>
      </c>
      <c r="BC18" s="15">
        <f t="shared" si="19"/>
        <v>0</v>
      </c>
      <c r="BD18" s="15">
        <f t="shared" si="20"/>
        <v>0</v>
      </c>
      <c r="BE18" s="15">
        <v>0</v>
      </c>
      <c r="BF18" s="15">
        <f>18</f>
        <v>18</v>
      </c>
      <c r="BH18" s="15">
        <f t="shared" si="21"/>
        <v>0</v>
      </c>
      <c r="BI18" s="15">
        <f t="shared" si="22"/>
        <v>0</v>
      </c>
      <c r="BJ18" s="15">
        <f t="shared" si="23"/>
        <v>0</v>
      </c>
      <c r="BK18" s="15"/>
      <c r="BL18" s="15"/>
      <c r="BW18" s="15">
        <v>21</v>
      </c>
    </row>
    <row r="19" spans="1:75" ht="13.5" customHeight="1">
      <c r="A19" s="7" t="s">
        <v>154</v>
      </c>
      <c r="B19" s="11" t="s">
        <v>888</v>
      </c>
      <c r="C19" s="135" t="s">
        <v>821</v>
      </c>
      <c r="D19" s="130"/>
      <c r="E19" s="11" t="s">
        <v>581</v>
      </c>
      <c r="F19" s="15">
        <f>'Stavební rozpočet'!F389</f>
        <v>4</v>
      </c>
      <c r="G19" s="218">
        <f>'Stavební rozpočet'!G389</f>
        <v>0</v>
      </c>
      <c r="H19" s="15">
        <f t="shared" si="0"/>
        <v>0</v>
      </c>
      <c r="I19" s="15">
        <f t="shared" si="1"/>
        <v>0</v>
      </c>
      <c r="J19" s="15">
        <f t="shared" si="2"/>
        <v>0</v>
      </c>
      <c r="K19" s="1" t="s">
        <v>577</v>
      </c>
      <c r="L19" s="32"/>
      <c r="Z19" s="15">
        <f t="shared" si="3"/>
        <v>0</v>
      </c>
      <c r="AB19" s="15">
        <f t="shared" si="4"/>
        <v>0</v>
      </c>
      <c r="AC19" s="15">
        <f t="shared" si="5"/>
        <v>0</v>
      </c>
      <c r="AD19" s="15">
        <f t="shared" si="6"/>
        <v>0</v>
      </c>
      <c r="AE19" s="15">
        <f t="shared" si="7"/>
        <v>0</v>
      </c>
      <c r="AF19" s="15">
        <f t="shared" si="8"/>
        <v>0</v>
      </c>
      <c r="AG19" s="15">
        <f t="shared" si="9"/>
        <v>0</v>
      </c>
      <c r="AH19" s="15">
        <f t="shared" si="10"/>
        <v>0</v>
      </c>
      <c r="AI19" s="52" t="s">
        <v>901</v>
      </c>
      <c r="AJ19" s="15">
        <f t="shared" si="11"/>
        <v>0</v>
      </c>
      <c r="AK19" s="15">
        <f t="shared" si="12"/>
        <v>0</v>
      </c>
      <c r="AL19" s="15">
        <f t="shared" si="13"/>
        <v>0</v>
      </c>
      <c r="AN19" s="15">
        <v>21</v>
      </c>
      <c r="AO19" s="15">
        <f t="shared" si="14"/>
        <v>0</v>
      </c>
      <c r="AP19" s="15">
        <f t="shared" si="15"/>
        <v>0</v>
      </c>
      <c r="AQ19" s="1" t="s">
        <v>829</v>
      </c>
      <c r="AV19" s="15">
        <f t="shared" si="16"/>
        <v>0</v>
      </c>
      <c r="AW19" s="15">
        <f t="shared" si="17"/>
        <v>0</v>
      </c>
      <c r="AX19" s="15">
        <f t="shared" si="18"/>
        <v>0</v>
      </c>
      <c r="AY19" s="1" t="s">
        <v>654</v>
      </c>
      <c r="AZ19" s="1" t="s">
        <v>299</v>
      </c>
      <c r="BA19" s="52" t="s">
        <v>56</v>
      </c>
      <c r="BC19" s="15">
        <f t="shared" si="19"/>
        <v>0</v>
      </c>
      <c r="BD19" s="15">
        <f t="shared" si="20"/>
        <v>0</v>
      </c>
      <c r="BE19" s="15">
        <v>0</v>
      </c>
      <c r="BF19" s="15">
        <f>19</f>
        <v>19</v>
      </c>
      <c r="BH19" s="15">
        <f t="shared" si="21"/>
        <v>0</v>
      </c>
      <c r="BI19" s="15">
        <f t="shared" si="22"/>
        <v>0</v>
      </c>
      <c r="BJ19" s="15">
        <f t="shared" si="23"/>
        <v>0</v>
      </c>
      <c r="BK19" s="15"/>
      <c r="BL19" s="15"/>
      <c r="BW19" s="15">
        <v>21</v>
      </c>
    </row>
    <row r="20" spans="1:75" ht="13.5" customHeight="1">
      <c r="A20" s="7" t="s">
        <v>831</v>
      </c>
      <c r="B20" s="11" t="s">
        <v>792</v>
      </c>
      <c r="C20" s="135" t="s">
        <v>934</v>
      </c>
      <c r="D20" s="130"/>
      <c r="E20" s="11" t="s">
        <v>581</v>
      </c>
      <c r="F20" s="15">
        <f>'Stavební rozpočet'!F390</f>
        <v>35</v>
      </c>
      <c r="G20" s="218">
        <f>'Stavební rozpočet'!G390</f>
        <v>0</v>
      </c>
      <c r="H20" s="15">
        <f t="shared" si="0"/>
        <v>0</v>
      </c>
      <c r="I20" s="15">
        <f t="shared" si="1"/>
        <v>0</v>
      </c>
      <c r="J20" s="15">
        <f t="shared" si="2"/>
        <v>0</v>
      </c>
      <c r="K20" s="1" t="s">
        <v>577</v>
      </c>
      <c r="L20" s="32"/>
      <c r="Z20" s="15">
        <f t="shared" si="3"/>
        <v>0</v>
      </c>
      <c r="AB20" s="15">
        <f t="shared" si="4"/>
        <v>0</v>
      </c>
      <c r="AC20" s="15">
        <f t="shared" si="5"/>
        <v>0</v>
      </c>
      <c r="AD20" s="15">
        <f t="shared" si="6"/>
        <v>0</v>
      </c>
      <c r="AE20" s="15">
        <f t="shared" si="7"/>
        <v>0</v>
      </c>
      <c r="AF20" s="15">
        <f t="shared" si="8"/>
        <v>0</v>
      </c>
      <c r="AG20" s="15">
        <f t="shared" si="9"/>
        <v>0</v>
      </c>
      <c r="AH20" s="15">
        <f t="shared" si="10"/>
        <v>0</v>
      </c>
      <c r="AI20" s="52" t="s">
        <v>901</v>
      </c>
      <c r="AJ20" s="15">
        <f t="shared" si="11"/>
        <v>0</v>
      </c>
      <c r="AK20" s="15">
        <f t="shared" si="12"/>
        <v>0</v>
      </c>
      <c r="AL20" s="15">
        <f t="shared" si="13"/>
        <v>0</v>
      </c>
      <c r="AN20" s="15">
        <v>21</v>
      </c>
      <c r="AO20" s="15">
        <f t="shared" si="14"/>
        <v>0</v>
      </c>
      <c r="AP20" s="15">
        <f t="shared" si="15"/>
        <v>0</v>
      </c>
      <c r="AQ20" s="1" t="s">
        <v>829</v>
      </c>
      <c r="AV20" s="15">
        <f t="shared" si="16"/>
        <v>0</v>
      </c>
      <c r="AW20" s="15">
        <f t="shared" si="17"/>
        <v>0</v>
      </c>
      <c r="AX20" s="15">
        <f t="shared" si="18"/>
        <v>0</v>
      </c>
      <c r="AY20" s="1" t="s">
        <v>654</v>
      </c>
      <c r="AZ20" s="1" t="s">
        <v>299</v>
      </c>
      <c r="BA20" s="52" t="s">
        <v>56</v>
      </c>
      <c r="BC20" s="15">
        <f t="shared" si="19"/>
        <v>0</v>
      </c>
      <c r="BD20" s="15">
        <f t="shared" si="20"/>
        <v>0</v>
      </c>
      <c r="BE20" s="15">
        <v>0</v>
      </c>
      <c r="BF20" s="15">
        <f>20</f>
        <v>20</v>
      </c>
      <c r="BH20" s="15">
        <f t="shared" si="21"/>
        <v>0</v>
      </c>
      <c r="BI20" s="15">
        <f t="shared" si="22"/>
        <v>0</v>
      </c>
      <c r="BJ20" s="15">
        <f t="shared" si="23"/>
        <v>0</v>
      </c>
      <c r="BK20" s="15"/>
      <c r="BL20" s="15"/>
      <c r="BW20" s="15">
        <v>21</v>
      </c>
    </row>
    <row r="21" spans="1:75" ht="13.5" customHeight="1">
      <c r="A21" s="7" t="s">
        <v>666</v>
      </c>
      <c r="B21" s="11" t="s">
        <v>499</v>
      </c>
      <c r="C21" s="135" t="s">
        <v>925</v>
      </c>
      <c r="D21" s="130"/>
      <c r="E21" s="11" t="s">
        <v>581</v>
      </c>
      <c r="F21" s="15">
        <f>'Stavební rozpočet'!F391</f>
        <v>8</v>
      </c>
      <c r="G21" s="218">
        <f>'Stavební rozpočet'!G391</f>
        <v>0</v>
      </c>
      <c r="H21" s="15">
        <f t="shared" si="0"/>
        <v>0</v>
      </c>
      <c r="I21" s="15">
        <f t="shared" si="1"/>
        <v>0</v>
      </c>
      <c r="J21" s="15">
        <f t="shared" si="2"/>
        <v>0</v>
      </c>
      <c r="K21" s="1" t="s">
        <v>577</v>
      </c>
      <c r="L21" s="32"/>
      <c r="Z21" s="15">
        <f t="shared" si="3"/>
        <v>0</v>
      </c>
      <c r="AB21" s="15">
        <f t="shared" si="4"/>
        <v>0</v>
      </c>
      <c r="AC21" s="15">
        <f t="shared" si="5"/>
        <v>0</v>
      </c>
      <c r="AD21" s="15">
        <f t="shared" si="6"/>
        <v>0</v>
      </c>
      <c r="AE21" s="15">
        <f t="shared" si="7"/>
        <v>0</v>
      </c>
      <c r="AF21" s="15">
        <f t="shared" si="8"/>
        <v>0</v>
      </c>
      <c r="AG21" s="15">
        <f t="shared" si="9"/>
        <v>0</v>
      </c>
      <c r="AH21" s="15">
        <f t="shared" si="10"/>
        <v>0</v>
      </c>
      <c r="AI21" s="52" t="s">
        <v>901</v>
      </c>
      <c r="AJ21" s="15">
        <f t="shared" si="11"/>
        <v>0</v>
      </c>
      <c r="AK21" s="15">
        <f t="shared" si="12"/>
        <v>0</v>
      </c>
      <c r="AL21" s="15">
        <f t="shared" si="13"/>
        <v>0</v>
      </c>
      <c r="AN21" s="15">
        <v>21</v>
      </c>
      <c r="AO21" s="15">
        <f t="shared" si="14"/>
        <v>0</v>
      </c>
      <c r="AP21" s="15">
        <f t="shared" si="15"/>
        <v>0</v>
      </c>
      <c r="AQ21" s="1" t="s">
        <v>829</v>
      </c>
      <c r="AV21" s="15">
        <f t="shared" si="16"/>
        <v>0</v>
      </c>
      <c r="AW21" s="15">
        <f t="shared" si="17"/>
        <v>0</v>
      </c>
      <c r="AX21" s="15">
        <f t="shared" si="18"/>
        <v>0</v>
      </c>
      <c r="AY21" s="1" t="s">
        <v>654</v>
      </c>
      <c r="AZ21" s="1" t="s">
        <v>299</v>
      </c>
      <c r="BA21" s="52" t="s">
        <v>56</v>
      </c>
      <c r="BC21" s="15">
        <f t="shared" si="19"/>
        <v>0</v>
      </c>
      <c r="BD21" s="15">
        <f t="shared" si="20"/>
        <v>0</v>
      </c>
      <c r="BE21" s="15">
        <v>0</v>
      </c>
      <c r="BF21" s="15">
        <f>21</f>
        <v>21</v>
      </c>
      <c r="BH21" s="15">
        <f t="shared" si="21"/>
        <v>0</v>
      </c>
      <c r="BI21" s="15">
        <f t="shared" si="22"/>
        <v>0</v>
      </c>
      <c r="BJ21" s="15">
        <f t="shared" si="23"/>
        <v>0</v>
      </c>
      <c r="BK21" s="15"/>
      <c r="BL21" s="15"/>
      <c r="BW21" s="15">
        <v>21</v>
      </c>
    </row>
    <row r="22" spans="1:75" ht="13.5" customHeight="1">
      <c r="A22" s="7" t="s">
        <v>348</v>
      </c>
      <c r="B22" s="11" t="s">
        <v>363</v>
      </c>
      <c r="C22" s="135" t="s">
        <v>205</v>
      </c>
      <c r="D22" s="130"/>
      <c r="E22" s="11" t="s">
        <v>581</v>
      </c>
      <c r="F22" s="15">
        <f>'Stavební rozpočet'!F392</f>
        <v>4</v>
      </c>
      <c r="G22" s="218">
        <f>'Stavební rozpočet'!G392</f>
        <v>0</v>
      </c>
      <c r="H22" s="15">
        <f t="shared" si="0"/>
        <v>0</v>
      </c>
      <c r="I22" s="15">
        <f t="shared" si="1"/>
        <v>0</v>
      </c>
      <c r="J22" s="15">
        <f t="shared" si="2"/>
        <v>0</v>
      </c>
      <c r="K22" s="1" t="s">
        <v>577</v>
      </c>
      <c r="L22" s="32"/>
      <c r="Z22" s="15">
        <f t="shared" si="3"/>
        <v>0</v>
      </c>
      <c r="AB22" s="15">
        <f t="shared" si="4"/>
        <v>0</v>
      </c>
      <c r="AC22" s="15">
        <f t="shared" si="5"/>
        <v>0</v>
      </c>
      <c r="AD22" s="15">
        <f t="shared" si="6"/>
        <v>0</v>
      </c>
      <c r="AE22" s="15">
        <f t="shared" si="7"/>
        <v>0</v>
      </c>
      <c r="AF22" s="15">
        <f t="shared" si="8"/>
        <v>0</v>
      </c>
      <c r="AG22" s="15">
        <f t="shared" si="9"/>
        <v>0</v>
      </c>
      <c r="AH22" s="15">
        <f t="shared" si="10"/>
        <v>0</v>
      </c>
      <c r="AI22" s="52" t="s">
        <v>901</v>
      </c>
      <c r="AJ22" s="15">
        <f t="shared" si="11"/>
        <v>0</v>
      </c>
      <c r="AK22" s="15">
        <f t="shared" si="12"/>
        <v>0</v>
      </c>
      <c r="AL22" s="15">
        <f t="shared" si="13"/>
        <v>0</v>
      </c>
      <c r="AN22" s="15">
        <v>21</v>
      </c>
      <c r="AO22" s="15">
        <f t="shared" si="14"/>
        <v>0</v>
      </c>
      <c r="AP22" s="15">
        <f t="shared" si="15"/>
        <v>0</v>
      </c>
      <c r="AQ22" s="1" t="s">
        <v>829</v>
      </c>
      <c r="AV22" s="15">
        <f t="shared" si="16"/>
        <v>0</v>
      </c>
      <c r="AW22" s="15">
        <f t="shared" si="17"/>
        <v>0</v>
      </c>
      <c r="AX22" s="15">
        <f t="shared" si="18"/>
        <v>0</v>
      </c>
      <c r="AY22" s="1" t="s">
        <v>654</v>
      </c>
      <c r="AZ22" s="1" t="s">
        <v>299</v>
      </c>
      <c r="BA22" s="52" t="s">
        <v>56</v>
      </c>
      <c r="BC22" s="15">
        <f t="shared" si="19"/>
        <v>0</v>
      </c>
      <c r="BD22" s="15">
        <f t="shared" si="20"/>
        <v>0</v>
      </c>
      <c r="BE22" s="15">
        <v>0</v>
      </c>
      <c r="BF22" s="15">
        <f>22</f>
        <v>22</v>
      </c>
      <c r="BH22" s="15">
        <f t="shared" si="21"/>
        <v>0</v>
      </c>
      <c r="BI22" s="15">
        <f t="shared" si="22"/>
        <v>0</v>
      </c>
      <c r="BJ22" s="15">
        <f t="shared" si="23"/>
        <v>0</v>
      </c>
      <c r="BK22" s="15"/>
      <c r="BL22" s="15"/>
      <c r="BW22" s="15">
        <v>21</v>
      </c>
    </row>
    <row r="23" spans="1:75" ht="13.5" customHeight="1">
      <c r="A23" s="7" t="s">
        <v>493</v>
      </c>
      <c r="B23" s="11" t="s">
        <v>836</v>
      </c>
      <c r="C23" s="135" t="s">
        <v>847</v>
      </c>
      <c r="D23" s="130"/>
      <c r="E23" s="11" t="s">
        <v>581</v>
      </c>
      <c r="F23" s="15">
        <f>'Stavební rozpočet'!F393</f>
        <v>4</v>
      </c>
      <c r="G23" s="218">
        <f>'Stavební rozpočet'!G393</f>
        <v>0</v>
      </c>
      <c r="H23" s="15">
        <f t="shared" si="0"/>
        <v>0</v>
      </c>
      <c r="I23" s="15">
        <f t="shared" si="1"/>
        <v>0</v>
      </c>
      <c r="J23" s="15">
        <f t="shared" si="2"/>
        <v>0</v>
      </c>
      <c r="K23" s="1" t="s">
        <v>577</v>
      </c>
      <c r="L23" s="32"/>
      <c r="Z23" s="15">
        <f t="shared" si="3"/>
        <v>0</v>
      </c>
      <c r="AB23" s="15">
        <f t="shared" si="4"/>
        <v>0</v>
      </c>
      <c r="AC23" s="15">
        <f t="shared" si="5"/>
        <v>0</v>
      </c>
      <c r="AD23" s="15">
        <f t="shared" si="6"/>
        <v>0</v>
      </c>
      <c r="AE23" s="15">
        <f t="shared" si="7"/>
        <v>0</v>
      </c>
      <c r="AF23" s="15">
        <f t="shared" si="8"/>
        <v>0</v>
      </c>
      <c r="AG23" s="15">
        <f t="shared" si="9"/>
        <v>0</v>
      </c>
      <c r="AH23" s="15">
        <f t="shared" si="10"/>
        <v>0</v>
      </c>
      <c r="AI23" s="52" t="s">
        <v>901</v>
      </c>
      <c r="AJ23" s="15">
        <f t="shared" si="11"/>
        <v>0</v>
      </c>
      <c r="AK23" s="15">
        <f t="shared" si="12"/>
        <v>0</v>
      </c>
      <c r="AL23" s="15">
        <f t="shared" si="13"/>
        <v>0</v>
      </c>
      <c r="AN23" s="15">
        <v>21</v>
      </c>
      <c r="AO23" s="15">
        <f t="shared" si="14"/>
        <v>0</v>
      </c>
      <c r="AP23" s="15">
        <f t="shared" si="15"/>
        <v>0</v>
      </c>
      <c r="AQ23" s="1" t="s">
        <v>829</v>
      </c>
      <c r="AV23" s="15">
        <f t="shared" si="16"/>
        <v>0</v>
      </c>
      <c r="AW23" s="15">
        <f t="shared" si="17"/>
        <v>0</v>
      </c>
      <c r="AX23" s="15">
        <f t="shared" si="18"/>
        <v>0</v>
      </c>
      <c r="AY23" s="1" t="s">
        <v>654</v>
      </c>
      <c r="AZ23" s="1" t="s">
        <v>299</v>
      </c>
      <c r="BA23" s="52" t="s">
        <v>56</v>
      </c>
      <c r="BC23" s="15">
        <f t="shared" si="19"/>
        <v>0</v>
      </c>
      <c r="BD23" s="15">
        <f t="shared" si="20"/>
        <v>0</v>
      </c>
      <c r="BE23" s="15">
        <v>0</v>
      </c>
      <c r="BF23" s="15">
        <f>23</f>
        <v>23</v>
      </c>
      <c r="BH23" s="15">
        <f t="shared" si="21"/>
        <v>0</v>
      </c>
      <c r="BI23" s="15">
        <f t="shared" si="22"/>
        <v>0</v>
      </c>
      <c r="BJ23" s="15">
        <f t="shared" si="23"/>
        <v>0</v>
      </c>
      <c r="BK23" s="15"/>
      <c r="BL23" s="15"/>
      <c r="BW23" s="15">
        <v>21</v>
      </c>
    </row>
    <row r="24" spans="1:75" ht="13.5" customHeight="1">
      <c r="A24" s="7" t="s">
        <v>700</v>
      </c>
      <c r="B24" s="11" t="s">
        <v>435</v>
      </c>
      <c r="C24" s="135" t="s">
        <v>296</v>
      </c>
      <c r="D24" s="130"/>
      <c r="E24" s="11" t="s">
        <v>581</v>
      </c>
      <c r="F24" s="15">
        <f>'Stavební rozpočet'!F394</f>
        <v>4</v>
      </c>
      <c r="G24" s="218">
        <f>'Stavební rozpočet'!G394</f>
        <v>0</v>
      </c>
      <c r="H24" s="15">
        <f t="shared" si="0"/>
        <v>0</v>
      </c>
      <c r="I24" s="15">
        <f t="shared" si="1"/>
        <v>0</v>
      </c>
      <c r="J24" s="15">
        <f t="shared" si="2"/>
        <v>0</v>
      </c>
      <c r="K24" s="1" t="s">
        <v>577</v>
      </c>
      <c r="L24" s="32"/>
      <c r="Z24" s="15">
        <f t="shared" si="3"/>
        <v>0</v>
      </c>
      <c r="AB24" s="15">
        <f t="shared" si="4"/>
        <v>0</v>
      </c>
      <c r="AC24" s="15">
        <f t="shared" si="5"/>
        <v>0</v>
      </c>
      <c r="AD24" s="15">
        <f t="shared" si="6"/>
        <v>0</v>
      </c>
      <c r="AE24" s="15">
        <f t="shared" si="7"/>
        <v>0</v>
      </c>
      <c r="AF24" s="15">
        <f t="shared" si="8"/>
        <v>0</v>
      </c>
      <c r="AG24" s="15">
        <f t="shared" si="9"/>
        <v>0</v>
      </c>
      <c r="AH24" s="15">
        <f t="shared" si="10"/>
        <v>0</v>
      </c>
      <c r="AI24" s="52" t="s">
        <v>901</v>
      </c>
      <c r="AJ24" s="15">
        <f t="shared" si="11"/>
        <v>0</v>
      </c>
      <c r="AK24" s="15">
        <f t="shared" si="12"/>
        <v>0</v>
      </c>
      <c r="AL24" s="15">
        <f t="shared" si="13"/>
        <v>0</v>
      </c>
      <c r="AN24" s="15">
        <v>21</v>
      </c>
      <c r="AO24" s="15">
        <f t="shared" si="14"/>
        <v>0</v>
      </c>
      <c r="AP24" s="15">
        <f t="shared" si="15"/>
        <v>0</v>
      </c>
      <c r="AQ24" s="1" t="s">
        <v>829</v>
      </c>
      <c r="AV24" s="15">
        <f t="shared" si="16"/>
        <v>0</v>
      </c>
      <c r="AW24" s="15">
        <f t="shared" si="17"/>
        <v>0</v>
      </c>
      <c r="AX24" s="15">
        <f t="shared" si="18"/>
        <v>0</v>
      </c>
      <c r="AY24" s="1" t="s">
        <v>654</v>
      </c>
      <c r="AZ24" s="1" t="s">
        <v>299</v>
      </c>
      <c r="BA24" s="52" t="s">
        <v>56</v>
      </c>
      <c r="BC24" s="15">
        <f t="shared" si="19"/>
        <v>0</v>
      </c>
      <c r="BD24" s="15">
        <f t="shared" si="20"/>
        <v>0</v>
      </c>
      <c r="BE24" s="15">
        <v>0</v>
      </c>
      <c r="BF24" s="15">
        <f>24</f>
        <v>24</v>
      </c>
      <c r="BH24" s="15">
        <f t="shared" si="21"/>
        <v>0</v>
      </c>
      <c r="BI24" s="15">
        <f t="shared" si="22"/>
        <v>0</v>
      </c>
      <c r="BJ24" s="15">
        <f t="shared" si="23"/>
        <v>0</v>
      </c>
      <c r="BK24" s="15"/>
      <c r="BL24" s="15"/>
      <c r="BW24" s="15">
        <v>21</v>
      </c>
    </row>
    <row r="25" spans="1:75" ht="13.5" customHeight="1">
      <c r="A25" s="7" t="s">
        <v>613</v>
      </c>
      <c r="B25" s="11" t="s">
        <v>476</v>
      </c>
      <c r="C25" s="135" t="s">
        <v>684</v>
      </c>
      <c r="D25" s="130"/>
      <c r="E25" s="11" t="s">
        <v>581</v>
      </c>
      <c r="F25" s="15">
        <f>'Stavební rozpočet'!F395</f>
        <v>12</v>
      </c>
      <c r="G25" s="218">
        <f>'Stavební rozpočet'!G395</f>
        <v>0</v>
      </c>
      <c r="H25" s="15">
        <f t="shared" si="0"/>
        <v>0</v>
      </c>
      <c r="I25" s="15">
        <f t="shared" si="1"/>
        <v>0</v>
      </c>
      <c r="J25" s="15">
        <f t="shared" si="2"/>
        <v>0</v>
      </c>
      <c r="K25" s="1" t="s">
        <v>577</v>
      </c>
      <c r="L25" s="32"/>
      <c r="Z25" s="15">
        <f t="shared" si="3"/>
        <v>0</v>
      </c>
      <c r="AB25" s="15">
        <f t="shared" si="4"/>
        <v>0</v>
      </c>
      <c r="AC25" s="15">
        <f t="shared" si="5"/>
        <v>0</v>
      </c>
      <c r="AD25" s="15">
        <f t="shared" si="6"/>
        <v>0</v>
      </c>
      <c r="AE25" s="15">
        <f t="shared" si="7"/>
        <v>0</v>
      </c>
      <c r="AF25" s="15">
        <f t="shared" si="8"/>
        <v>0</v>
      </c>
      <c r="AG25" s="15">
        <f t="shared" si="9"/>
        <v>0</v>
      </c>
      <c r="AH25" s="15">
        <f t="shared" si="10"/>
        <v>0</v>
      </c>
      <c r="AI25" s="52" t="s">
        <v>901</v>
      </c>
      <c r="AJ25" s="15">
        <f t="shared" si="11"/>
        <v>0</v>
      </c>
      <c r="AK25" s="15">
        <f t="shared" si="12"/>
        <v>0</v>
      </c>
      <c r="AL25" s="15">
        <f t="shared" si="13"/>
        <v>0</v>
      </c>
      <c r="AN25" s="15">
        <v>21</v>
      </c>
      <c r="AO25" s="15">
        <f t="shared" si="14"/>
        <v>0</v>
      </c>
      <c r="AP25" s="15">
        <f t="shared" si="15"/>
        <v>0</v>
      </c>
      <c r="AQ25" s="1" t="s">
        <v>829</v>
      </c>
      <c r="AV25" s="15">
        <f t="shared" si="16"/>
        <v>0</v>
      </c>
      <c r="AW25" s="15">
        <f t="shared" si="17"/>
        <v>0</v>
      </c>
      <c r="AX25" s="15">
        <f t="shared" si="18"/>
        <v>0</v>
      </c>
      <c r="AY25" s="1" t="s">
        <v>654</v>
      </c>
      <c r="AZ25" s="1" t="s">
        <v>299</v>
      </c>
      <c r="BA25" s="52" t="s">
        <v>56</v>
      </c>
      <c r="BC25" s="15">
        <f t="shared" si="19"/>
        <v>0</v>
      </c>
      <c r="BD25" s="15">
        <f t="shared" si="20"/>
        <v>0</v>
      </c>
      <c r="BE25" s="15">
        <v>0</v>
      </c>
      <c r="BF25" s="15">
        <f>25</f>
        <v>25</v>
      </c>
      <c r="BH25" s="15">
        <f t="shared" si="21"/>
        <v>0</v>
      </c>
      <c r="BI25" s="15">
        <f t="shared" si="22"/>
        <v>0</v>
      </c>
      <c r="BJ25" s="15">
        <f t="shared" si="23"/>
        <v>0</v>
      </c>
      <c r="BK25" s="15"/>
      <c r="BL25" s="15"/>
      <c r="BW25" s="15">
        <v>21</v>
      </c>
    </row>
    <row r="26" spans="1:75" ht="13.5" customHeight="1">
      <c r="A26" s="7" t="s">
        <v>277</v>
      </c>
      <c r="B26" s="11" t="s">
        <v>885</v>
      </c>
      <c r="C26" s="135" t="s">
        <v>408</v>
      </c>
      <c r="D26" s="130"/>
      <c r="E26" s="11" t="s">
        <v>581</v>
      </c>
      <c r="F26" s="15">
        <f>'Stavební rozpočet'!F396</f>
        <v>15</v>
      </c>
      <c r="G26" s="218">
        <f>'Stavební rozpočet'!G396</f>
        <v>0</v>
      </c>
      <c r="H26" s="15">
        <f t="shared" si="0"/>
        <v>0</v>
      </c>
      <c r="I26" s="15">
        <f t="shared" si="1"/>
        <v>0</v>
      </c>
      <c r="J26" s="15">
        <f t="shared" si="2"/>
        <v>0</v>
      </c>
      <c r="K26" s="1" t="s">
        <v>577</v>
      </c>
      <c r="L26" s="32"/>
      <c r="Z26" s="15">
        <f t="shared" si="3"/>
        <v>0</v>
      </c>
      <c r="AB26" s="15">
        <f t="shared" si="4"/>
        <v>0</v>
      </c>
      <c r="AC26" s="15">
        <f t="shared" si="5"/>
        <v>0</v>
      </c>
      <c r="AD26" s="15">
        <f t="shared" si="6"/>
        <v>0</v>
      </c>
      <c r="AE26" s="15">
        <f t="shared" si="7"/>
        <v>0</v>
      </c>
      <c r="AF26" s="15">
        <f t="shared" si="8"/>
        <v>0</v>
      </c>
      <c r="AG26" s="15">
        <f t="shared" si="9"/>
        <v>0</v>
      </c>
      <c r="AH26" s="15">
        <f t="shared" si="10"/>
        <v>0</v>
      </c>
      <c r="AI26" s="52" t="s">
        <v>901</v>
      </c>
      <c r="AJ26" s="15">
        <f t="shared" si="11"/>
        <v>0</v>
      </c>
      <c r="AK26" s="15">
        <f t="shared" si="12"/>
        <v>0</v>
      </c>
      <c r="AL26" s="15">
        <f t="shared" si="13"/>
        <v>0</v>
      </c>
      <c r="AN26" s="15">
        <v>21</v>
      </c>
      <c r="AO26" s="15">
        <f t="shared" si="14"/>
        <v>0</v>
      </c>
      <c r="AP26" s="15">
        <f t="shared" si="15"/>
        <v>0</v>
      </c>
      <c r="AQ26" s="1" t="s">
        <v>829</v>
      </c>
      <c r="AV26" s="15">
        <f t="shared" si="16"/>
        <v>0</v>
      </c>
      <c r="AW26" s="15">
        <f t="shared" si="17"/>
        <v>0</v>
      </c>
      <c r="AX26" s="15">
        <f t="shared" si="18"/>
        <v>0</v>
      </c>
      <c r="AY26" s="1" t="s">
        <v>654</v>
      </c>
      <c r="AZ26" s="1" t="s">
        <v>299</v>
      </c>
      <c r="BA26" s="52" t="s">
        <v>56</v>
      </c>
      <c r="BC26" s="15">
        <f t="shared" si="19"/>
        <v>0</v>
      </c>
      <c r="BD26" s="15">
        <f t="shared" si="20"/>
        <v>0</v>
      </c>
      <c r="BE26" s="15">
        <v>0</v>
      </c>
      <c r="BF26" s="15">
        <f>26</f>
        <v>26</v>
      </c>
      <c r="BH26" s="15">
        <f t="shared" si="21"/>
        <v>0</v>
      </c>
      <c r="BI26" s="15">
        <f t="shared" si="22"/>
        <v>0</v>
      </c>
      <c r="BJ26" s="15">
        <f t="shared" si="23"/>
        <v>0</v>
      </c>
      <c r="BK26" s="15"/>
      <c r="BL26" s="15"/>
      <c r="BW26" s="15">
        <v>21</v>
      </c>
    </row>
    <row r="27" spans="1:75" ht="13.5" customHeight="1">
      <c r="A27" s="7" t="s">
        <v>502</v>
      </c>
      <c r="B27" s="11" t="s">
        <v>714</v>
      </c>
      <c r="C27" s="135" t="s">
        <v>580</v>
      </c>
      <c r="D27" s="130"/>
      <c r="E27" s="11" t="s">
        <v>581</v>
      </c>
      <c r="F27" s="15">
        <f>'Stavební rozpočet'!F397</f>
        <v>16</v>
      </c>
      <c r="G27" s="218">
        <f>'Stavební rozpočet'!G397</f>
        <v>0</v>
      </c>
      <c r="H27" s="15">
        <f t="shared" si="0"/>
        <v>0</v>
      </c>
      <c r="I27" s="15">
        <f t="shared" si="1"/>
        <v>0</v>
      </c>
      <c r="J27" s="15">
        <f t="shared" si="2"/>
        <v>0</v>
      </c>
      <c r="K27" s="1" t="s">
        <v>577</v>
      </c>
      <c r="L27" s="32"/>
      <c r="Z27" s="15">
        <f t="shared" si="3"/>
        <v>0</v>
      </c>
      <c r="AB27" s="15">
        <f t="shared" si="4"/>
        <v>0</v>
      </c>
      <c r="AC27" s="15">
        <f t="shared" si="5"/>
        <v>0</v>
      </c>
      <c r="AD27" s="15">
        <f t="shared" si="6"/>
        <v>0</v>
      </c>
      <c r="AE27" s="15">
        <f t="shared" si="7"/>
        <v>0</v>
      </c>
      <c r="AF27" s="15">
        <f t="shared" si="8"/>
        <v>0</v>
      </c>
      <c r="AG27" s="15">
        <f t="shared" si="9"/>
        <v>0</v>
      </c>
      <c r="AH27" s="15">
        <f t="shared" si="10"/>
        <v>0</v>
      </c>
      <c r="AI27" s="52" t="s">
        <v>901</v>
      </c>
      <c r="AJ27" s="15">
        <f t="shared" si="11"/>
        <v>0</v>
      </c>
      <c r="AK27" s="15">
        <f t="shared" si="12"/>
        <v>0</v>
      </c>
      <c r="AL27" s="15">
        <f t="shared" si="13"/>
        <v>0</v>
      </c>
      <c r="AN27" s="15">
        <v>21</v>
      </c>
      <c r="AO27" s="15">
        <f t="shared" si="14"/>
        <v>0</v>
      </c>
      <c r="AP27" s="15">
        <f t="shared" si="15"/>
        <v>0</v>
      </c>
      <c r="AQ27" s="1" t="s">
        <v>829</v>
      </c>
      <c r="AV27" s="15">
        <f t="shared" si="16"/>
        <v>0</v>
      </c>
      <c r="AW27" s="15">
        <f t="shared" si="17"/>
        <v>0</v>
      </c>
      <c r="AX27" s="15">
        <f t="shared" si="18"/>
        <v>0</v>
      </c>
      <c r="AY27" s="1" t="s">
        <v>654</v>
      </c>
      <c r="AZ27" s="1" t="s">
        <v>299</v>
      </c>
      <c r="BA27" s="52" t="s">
        <v>56</v>
      </c>
      <c r="BC27" s="15">
        <f t="shared" si="19"/>
        <v>0</v>
      </c>
      <c r="BD27" s="15">
        <f t="shared" si="20"/>
        <v>0</v>
      </c>
      <c r="BE27" s="15">
        <v>0</v>
      </c>
      <c r="BF27" s="15">
        <f>27</f>
        <v>27</v>
      </c>
      <c r="BH27" s="15">
        <f t="shared" si="21"/>
        <v>0</v>
      </c>
      <c r="BI27" s="15">
        <f t="shared" si="22"/>
        <v>0</v>
      </c>
      <c r="BJ27" s="15">
        <f t="shared" si="23"/>
        <v>0</v>
      </c>
      <c r="BK27" s="15"/>
      <c r="BL27" s="15"/>
      <c r="BW27" s="15">
        <v>21</v>
      </c>
    </row>
    <row r="28" spans="1:75" ht="13.5" customHeight="1">
      <c r="A28" s="7" t="s">
        <v>360</v>
      </c>
      <c r="B28" s="11" t="s">
        <v>364</v>
      </c>
      <c r="C28" s="135" t="s">
        <v>334</v>
      </c>
      <c r="D28" s="130"/>
      <c r="E28" s="11" t="s">
        <v>581</v>
      </c>
      <c r="F28" s="15">
        <f>'Stavební rozpočet'!F398</f>
        <v>90</v>
      </c>
      <c r="G28" s="218">
        <f>'Stavební rozpočet'!G398</f>
        <v>0</v>
      </c>
      <c r="H28" s="15">
        <f t="shared" si="0"/>
        <v>0</v>
      </c>
      <c r="I28" s="15">
        <f t="shared" si="1"/>
        <v>0</v>
      </c>
      <c r="J28" s="15">
        <f t="shared" si="2"/>
        <v>0</v>
      </c>
      <c r="K28" s="1" t="s">
        <v>577</v>
      </c>
      <c r="L28" s="32"/>
      <c r="Z28" s="15">
        <f t="shared" si="3"/>
        <v>0</v>
      </c>
      <c r="AB28" s="15">
        <f t="shared" si="4"/>
        <v>0</v>
      </c>
      <c r="AC28" s="15">
        <f t="shared" si="5"/>
        <v>0</v>
      </c>
      <c r="AD28" s="15">
        <f t="shared" si="6"/>
        <v>0</v>
      </c>
      <c r="AE28" s="15">
        <f t="shared" si="7"/>
        <v>0</v>
      </c>
      <c r="AF28" s="15">
        <f t="shared" si="8"/>
        <v>0</v>
      </c>
      <c r="AG28" s="15">
        <f t="shared" si="9"/>
        <v>0</v>
      </c>
      <c r="AH28" s="15">
        <f t="shared" si="10"/>
        <v>0</v>
      </c>
      <c r="AI28" s="52" t="s">
        <v>901</v>
      </c>
      <c r="AJ28" s="15">
        <f t="shared" si="11"/>
        <v>0</v>
      </c>
      <c r="AK28" s="15">
        <f t="shared" si="12"/>
        <v>0</v>
      </c>
      <c r="AL28" s="15">
        <f t="shared" si="13"/>
        <v>0</v>
      </c>
      <c r="AN28" s="15">
        <v>21</v>
      </c>
      <c r="AO28" s="15">
        <f t="shared" si="14"/>
        <v>0</v>
      </c>
      <c r="AP28" s="15">
        <f t="shared" si="15"/>
        <v>0</v>
      </c>
      <c r="AQ28" s="1" t="s">
        <v>829</v>
      </c>
      <c r="AV28" s="15">
        <f t="shared" si="16"/>
        <v>0</v>
      </c>
      <c r="AW28" s="15">
        <f t="shared" si="17"/>
        <v>0</v>
      </c>
      <c r="AX28" s="15">
        <f t="shared" si="18"/>
        <v>0</v>
      </c>
      <c r="AY28" s="1" t="s">
        <v>654</v>
      </c>
      <c r="AZ28" s="1" t="s">
        <v>299</v>
      </c>
      <c r="BA28" s="52" t="s">
        <v>56</v>
      </c>
      <c r="BC28" s="15">
        <f t="shared" si="19"/>
        <v>0</v>
      </c>
      <c r="BD28" s="15">
        <f t="shared" si="20"/>
        <v>0</v>
      </c>
      <c r="BE28" s="15">
        <v>0</v>
      </c>
      <c r="BF28" s="15">
        <f>28</f>
        <v>28</v>
      </c>
      <c r="BH28" s="15">
        <f t="shared" si="21"/>
        <v>0</v>
      </c>
      <c r="BI28" s="15">
        <f t="shared" si="22"/>
        <v>0</v>
      </c>
      <c r="BJ28" s="15">
        <f t="shared" si="23"/>
        <v>0</v>
      </c>
      <c r="BK28" s="15"/>
      <c r="BL28" s="15"/>
      <c r="BW28" s="15">
        <v>21</v>
      </c>
    </row>
    <row r="29" spans="1:75" ht="13.5" customHeight="1">
      <c r="A29" s="7" t="s">
        <v>91</v>
      </c>
      <c r="B29" s="11" t="s">
        <v>717</v>
      </c>
      <c r="C29" s="135" t="s">
        <v>64</v>
      </c>
      <c r="D29" s="130"/>
      <c r="E29" s="11" t="s">
        <v>649</v>
      </c>
      <c r="F29" s="15">
        <f>'Stavební rozpočet'!F399</f>
        <v>1</v>
      </c>
      <c r="G29" s="218">
        <f>'Stavební rozpočet'!G399</f>
        <v>0</v>
      </c>
      <c r="H29" s="15">
        <f t="shared" si="0"/>
        <v>0</v>
      </c>
      <c r="I29" s="15">
        <f t="shared" si="1"/>
        <v>0</v>
      </c>
      <c r="J29" s="15">
        <f t="shared" si="2"/>
        <v>0</v>
      </c>
      <c r="K29" s="1" t="s">
        <v>577</v>
      </c>
      <c r="L29" s="32"/>
      <c r="Z29" s="15">
        <f t="shared" si="3"/>
        <v>0</v>
      </c>
      <c r="AB29" s="15">
        <f t="shared" si="4"/>
        <v>0</v>
      </c>
      <c r="AC29" s="15">
        <f t="shared" si="5"/>
        <v>0</v>
      </c>
      <c r="AD29" s="15">
        <f t="shared" si="6"/>
        <v>0</v>
      </c>
      <c r="AE29" s="15">
        <f t="shared" si="7"/>
        <v>0</v>
      </c>
      <c r="AF29" s="15">
        <f t="shared" si="8"/>
        <v>0</v>
      </c>
      <c r="AG29" s="15">
        <f t="shared" si="9"/>
        <v>0</v>
      </c>
      <c r="AH29" s="15">
        <f t="shared" si="10"/>
        <v>0</v>
      </c>
      <c r="AI29" s="52" t="s">
        <v>901</v>
      </c>
      <c r="AJ29" s="15">
        <f t="shared" si="11"/>
        <v>0</v>
      </c>
      <c r="AK29" s="15">
        <f t="shared" si="12"/>
        <v>0</v>
      </c>
      <c r="AL29" s="15">
        <f t="shared" si="13"/>
        <v>0</v>
      </c>
      <c r="AN29" s="15">
        <v>21</v>
      </c>
      <c r="AO29" s="15">
        <f t="shared" si="14"/>
        <v>0</v>
      </c>
      <c r="AP29" s="15">
        <f t="shared" si="15"/>
        <v>0</v>
      </c>
      <c r="AQ29" s="1" t="s">
        <v>829</v>
      </c>
      <c r="AV29" s="15">
        <f t="shared" si="16"/>
        <v>0</v>
      </c>
      <c r="AW29" s="15">
        <f t="shared" si="17"/>
        <v>0</v>
      </c>
      <c r="AX29" s="15">
        <f t="shared" si="18"/>
        <v>0</v>
      </c>
      <c r="AY29" s="1" t="s">
        <v>654</v>
      </c>
      <c r="AZ29" s="1" t="s">
        <v>299</v>
      </c>
      <c r="BA29" s="52" t="s">
        <v>56</v>
      </c>
      <c r="BC29" s="15">
        <f t="shared" si="19"/>
        <v>0</v>
      </c>
      <c r="BD29" s="15">
        <f t="shared" si="20"/>
        <v>0</v>
      </c>
      <c r="BE29" s="15">
        <v>0</v>
      </c>
      <c r="BF29" s="15">
        <f>29</f>
        <v>29</v>
      </c>
      <c r="BH29" s="15">
        <f t="shared" si="21"/>
        <v>0</v>
      </c>
      <c r="BI29" s="15">
        <f t="shared" si="22"/>
        <v>0</v>
      </c>
      <c r="BJ29" s="15">
        <f t="shared" si="23"/>
        <v>0</v>
      </c>
      <c r="BK29" s="15"/>
      <c r="BL29" s="15"/>
      <c r="BW29" s="15">
        <v>21</v>
      </c>
    </row>
    <row r="30" spans="1:75" ht="13.5" customHeight="1">
      <c r="A30" s="7" t="s">
        <v>579</v>
      </c>
      <c r="B30" s="11" t="s">
        <v>221</v>
      </c>
      <c r="C30" s="135" t="s">
        <v>929</v>
      </c>
      <c r="D30" s="130"/>
      <c r="E30" s="11" t="s">
        <v>581</v>
      </c>
      <c r="F30" s="15">
        <f>'Stavební rozpočet'!F400</f>
        <v>4</v>
      </c>
      <c r="G30" s="218">
        <f>'Stavební rozpočet'!G400</f>
        <v>0</v>
      </c>
      <c r="H30" s="15">
        <f t="shared" si="0"/>
        <v>0</v>
      </c>
      <c r="I30" s="15">
        <f t="shared" si="1"/>
        <v>0</v>
      </c>
      <c r="J30" s="15">
        <f t="shared" si="2"/>
        <v>0</v>
      </c>
      <c r="K30" s="1" t="s">
        <v>577</v>
      </c>
      <c r="L30" s="32"/>
      <c r="Z30" s="15">
        <f t="shared" si="3"/>
        <v>0</v>
      </c>
      <c r="AB30" s="15">
        <f t="shared" si="4"/>
        <v>0</v>
      </c>
      <c r="AC30" s="15">
        <f t="shared" si="5"/>
        <v>0</v>
      </c>
      <c r="AD30" s="15">
        <f t="shared" si="6"/>
        <v>0</v>
      </c>
      <c r="AE30" s="15">
        <f t="shared" si="7"/>
        <v>0</v>
      </c>
      <c r="AF30" s="15">
        <f t="shared" si="8"/>
        <v>0</v>
      </c>
      <c r="AG30" s="15">
        <f t="shared" si="9"/>
        <v>0</v>
      </c>
      <c r="AH30" s="15">
        <f t="shared" si="10"/>
        <v>0</v>
      </c>
      <c r="AI30" s="52" t="s">
        <v>901</v>
      </c>
      <c r="AJ30" s="15">
        <f t="shared" si="11"/>
        <v>0</v>
      </c>
      <c r="AK30" s="15">
        <f t="shared" si="12"/>
        <v>0</v>
      </c>
      <c r="AL30" s="15">
        <f t="shared" si="13"/>
        <v>0</v>
      </c>
      <c r="AN30" s="15">
        <v>21</v>
      </c>
      <c r="AO30" s="15">
        <f t="shared" si="14"/>
        <v>0</v>
      </c>
      <c r="AP30" s="15">
        <f t="shared" si="15"/>
        <v>0</v>
      </c>
      <c r="AQ30" s="1" t="s">
        <v>829</v>
      </c>
      <c r="AV30" s="15">
        <f t="shared" si="16"/>
        <v>0</v>
      </c>
      <c r="AW30" s="15">
        <f t="shared" si="17"/>
        <v>0</v>
      </c>
      <c r="AX30" s="15">
        <f t="shared" si="18"/>
        <v>0</v>
      </c>
      <c r="AY30" s="1" t="s">
        <v>654</v>
      </c>
      <c r="AZ30" s="1" t="s">
        <v>299</v>
      </c>
      <c r="BA30" s="52" t="s">
        <v>56</v>
      </c>
      <c r="BC30" s="15">
        <f t="shared" si="19"/>
        <v>0</v>
      </c>
      <c r="BD30" s="15">
        <f t="shared" si="20"/>
        <v>0</v>
      </c>
      <c r="BE30" s="15">
        <v>0</v>
      </c>
      <c r="BF30" s="15">
        <f>30</f>
        <v>30</v>
      </c>
      <c r="BH30" s="15">
        <f t="shared" si="21"/>
        <v>0</v>
      </c>
      <c r="BI30" s="15">
        <f t="shared" si="22"/>
        <v>0</v>
      </c>
      <c r="BJ30" s="15">
        <f t="shared" si="23"/>
        <v>0</v>
      </c>
      <c r="BK30" s="15"/>
      <c r="BL30" s="15"/>
      <c r="BW30" s="15">
        <v>21</v>
      </c>
    </row>
    <row r="31" spans="1:75" ht="13.5" customHeight="1">
      <c r="A31" s="7" t="s">
        <v>673</v>
      </c>
      <c r="B31" s="11" t="s">
        <v>859</v>
      </c>
      <c r="C31" s="135" t="s">
        <v>318</v>
      </c>
      <c r="D31" s="130"/>
      <c r="E31" s="11" t="s">
        <v>581</v>
      </c>
      <c r="F31" s="15">
        <f>'Stavební rozpočet'!F401</f>
        <v>4</v>
      </c>
      <c r="G31" s="218">
        <f>'Stavební rozpočet'!G401</f>
        <v>0</v>
      </c>
      <c r="H31" s="15">
        <f t="shared" si="0"/>
        <v>0</v>
      </c>
      <c r="I31" s="15">
        <f t="shared" si="1"/>
        <v>0</v>
      </c>
      <c r="J31" s="15">
        <f t="shared" si="2"/>
        <v>0</v>
      </c>
      <c r="K31" s="1" t="s">
        <v>577</v>
      </c>
      <c r="L31" s="32"/>
      <c r="Z31" s="15">
        <f t="shared" si="3"/>
        <v>0</v>
      </c>
      <c r="AB31" s="15">
        <f t="shared" si="4"/>
        <v>0</v>
      </c>
      <c r="AC31" s="15">
        <f t="shared" si="5"/>
        <v>0</v>
      </c>
      <c r="AD31" s="15">
        <f t="shared" si="6"/>
        <v>0</v>
      </c>
      <c r="AE31" s="15">
        <f t="shared" si="7"/>
        <v>0</v>
      </c>
      <c r="AF31" s="15">
        <f t="shared" si="8"/>
        <v>0</v>
      </c>
      <c r="AG31" s="15">
        <f t="shared" si="9"/>
        <v>0</v>
      </c>
      <c r="AH31" s="15">
        <f t="shared" si="10"/>
        <v>0</v>
      </c>
      <c r="AI31" s="52" t="s">
        <v>901</v>
      </c>
      <c r="AJ31" s="15">
        <f t="shared" si="11"/>
        <v>0</v>
      </c>
      <c r="AK31" s="15">
        <f t="shared" si="12"/>
        <v>0</v>
      </c>
      <c r="AL31" s="15">
        <f t="shared" si="13"/>
        <v>0</v>
      </c>
      <c r="AN31" s="15">
        <v>21</v>
      </c>
      <c r="AO31" s="15">
        <f t="shared" si="14"/>
        <v>0</v>
      </c>
      <c r="AP31" s="15">
        <f t="shared" si="15"/>
        <v>0</v>
      </c>
      <c r="AQ31" s="1" t="s">
        <v>829</v>
      </c>
      <c r="AV31" s="15">
        <f t="shared" si="16"/>
        <v>0</v>
      </c>
      <c r="AW31" s="15">
        <f t="shared" si="17"/>
        <v>0</v>
      </c>
      <c r="AX31" s="15">
        <f t="shared" si="18"/>
        <v>0</v>
      </c>
      <c r="AY31" s="1" t="s">
        <v>654</v>
      </c>
      <c r="AZ31" s="1" t="s">
        <v>299</v>
      </c>
      <c r="BA31" s="52" t="s">
        <v>56</v>
      </c>
      <c r="BC31" s="15">
        <f t="shared" si="19"/>
        <v>0</v>
      </c>
      <c r="BD31" s="15">
        <f t="shared" si="20"/>
        <v>0</v>
      </c>
      <c r="BE31" s="15">
        <v>0</v>
      </c>
      <c r="BF31" s="15">
        <f>31</f>
        <v>31</v>
      </c>
      <c r="BH31" s="15">
        <f t="shared" si="21"/>
        <v>0</v>
      </c>
      <c r="BI31" s="15">
        <f t="shared" si="22"/>
        <v>0</v>
      </c>
      <c r="BJ31" s="15">
        <f t="shared" si="23"/>
        <v>0</v>
      </c>
      <c r="BK31" s="15"/>
      <c r="BL31" s="15"/>
      <c r="BW31" s="15">
        <v>21</v>
      </c>
    </row>
    <row r="32" spans="1:75" ht="27" customHeight="1">
      <c r="A32" s="7" t="s">
        <v>532</v>
      </c>
      <c r="B32" s="11" t="s">
        <v>576</v>
      </c>
      <c r="C32" s="135" t="s">
        <v>561</v>
      </c>
      <c r="D32" s="130"/>
      <c r="E32" s="11" t="s">
        <v>695</v>
      </c>
      <c r="F32" s="15">
        <f>'Stavební rozpočet'!F402</f>
        <v>20</v>
      </c>
      <c r="G32" s="218">
        <f>'Stavební rozpočet'!G402</f>
        <v>0</v>
      </c>
      <c r="H32" s="15">
        <f t="shared" si="0"/>
        <v>0</v>
      </c>
      <c r="I32" s="15">
        <f t="shared" si="1"/>
        <v>0</v>
      </c>
      <c r="J32" s="15">
        <f t="shared" si="2"/>
        <v>0</v>
      </c>
      <c r="K32" s="1" t="s">
        <v>577</v>
      </c>
      <c r="L32" s="32"/>
      <c r="Z32" s="15">
        <f t="shared" si="3"/>
        <v>0</v>
      </c>
      <c r="AB32" s="15">
        <f t="shared" si="4"/>
        <v>0</v>
      </c>
      <c r="AC32" s="15">
        <f t="shared" si="5"/>
        <v>0</v>
      </c>
      <c r="AD32" s="15">
        <f t="shared" si="6"/>
        <v>0</v>
      </c>
      <c r="AE32" s="15">
        <f t="shared" si="7"/>
        <v>0</v>
      </c>
      <c r="AF32" s="15">
        <f t="shared" si="8"/>
        <v>0</v>
      </c>
      <c r="AG32" s="15">
        <f t="shared" si="9"/>
        <v>0</v>
      </c>
      <c r="AH32" s="15">
        <f t="shared" si="10"/>
        <v>0</v>
      </c>
      <c r="AI32" s="52" t="s">
        <v>901</v>
      </c>
      <c r="AJ32" s="15">
        <f t="shared" si="11"/>
        <v>0</v>
      </c>
      <c r="AK32" s="15">
        <f t="shared" si="12"/>
        <v>0</v>
      </c>
      <c r="AL32" s="15">
        <f t="shared" si="13"/>
        <v>0</v>
      </c>
      <c r="AN32" s="15">
        <v>21</v>
      </c>
      <c r="AO32" s="15">
        <f t="shared" si="14"/>
        <v>0</v>
      </c>
      <c r="AP32" s="15">
        <f t="shared" si="15"/>
        <v>0</v>
      </c>
      <c r="AQ32" s="1" t="s">
        <v>829</v>
      </c>
      <c r="AV32" s="15">
        <f t="shared" si="16"/>
        <v>0</v>
      </c>
      <c r="AW32" s="15">
        <f t="shared" si="17"/>
        <v>0</v>
      </c>
      <c r="AX32" s="15">
        <f t="shared" si="18"/>
        <v>0</v>
      </c>
      <c r="AY32" s="1" t="s">
        <v>654</v>
      </c>
      <c r="AZ32" s="1" t="s">
        <v>299</v>
      </c>
      <c r="BA32" s="52" t="s">
        <v>56</v>
      </c>
      <c r="BC32" s="15">
        <f t="shared" si="19"/>
        <v>0</v>
      </c>
      <c r="BD32" s="15">
        <f t="shared" si="20"/>
        <v>0</v>
      </c>
      <c r="BE32" s="15">
        <v>0</v>
      </c>
      <c r="BF32" s="15">
        <f>32</f>
        <v>32</v>
      </c>
      <c r="BH32" s="15">
        <f t="shared" si="21"/>
        <v>0</v>
      </c>
      <c r="BI32" s="15">
        <f t="shared" si="22"/>
        <v>0</v>
      </c>
      <c r="BJ32" s="15">
        <f t="shared" si="23"/>
        <v>0</v>
      </c>
      <c r="BK32" s="15"/>
      <c r="BL32" s="15"/>
      <c r="BW32" s="15">
        <v>21</v>
      </c>
    </row>
    <row r="33" spans="1:75" ht="13.5" customHeight="1">
      <c r="A33" s="7" t="s">
        <v>51</v>
      </c>
      <c r="B33" s="11" t="s">
        <v>592</v>
      </c>
      <c r="C33" s="135" t="s">
        <v>405</v>
      </c>
      <c r="D33" s="130"/>
      <c r="E33" s="11" t="s">
        <v>695</v>
      </c>
      <c r="F33" s="15">
        <f>'Stavební rozpočet'!F403</f>
        <v>20</v>
      </c>
      <c r="G33" s="218">
        <f>'Stavební rozpočet'!G403</f>
        <v>0</v>
      </c>
      <c r="H33" s="15">
        <f t="shared" si="0"/>
        <v>0</v>
      </c>
      <c r="I33" s="15">
        <f t="shared" si="1"/>
        <v>0</v>
      </c>
      <c r="J33" s="15">
        <f t="shared" si="2"/>
        <v>0</v>
      </c>
      <c r="K33" s="1" t="s">
        <v>577</v>
      </c>
      <c r="L33" s="32"/>
      <c r="Z33" s="15">
        <f t="shared" si="3"/>
        <v>0</v>
      </c>
      <c r="AB33" s="15">
        <f t="shared" si="4"/>
        <v>0</v>
      </c>
      <c r="AC33" s="15">
        <f t="shared" si="5"/>
        <v>0</v>
      </c>
      <c r="AD33" s="15">
        <f t="shared" si="6"/>
        <v>0</v>
      </c>
      <c r="AE33" s="15">
        <f t="shared" si="7"/>
        <v>0</v>
      </c>
      <c r="AF33" s="15">
        <f t="shared" si="8"/>
        <v>0</v>
      </c>
      <c r="AG33" s="15">
        <f t="shared" si="9"/>
        <v>0</v>
      </c>
      <c r="AH33" s="15">
        <f t="shared" si="10"/>
        <v>0</v>
      </c>
      <c r="AI33" s="52" t="s">
        <v>901</v>
      </c>
      <c r="AJ33" s="15">
        <f t="shared" si="11"/>
        <v>0</v>
      </c>
      <c r="AK33" s="15">
        <f t="shared" si="12"/>
        <v>0</v>
      </c>
      <c r="AL33" s="15">
        <f t="shared" si="13"/>
        <v>0</v>
      </c>
      <c r="AN33" s="15">
        <v>21</v>
      </c>
      <c r="AO33" s="15">
        <f t="shared" si="14"/>
        <v>0</v>
      </c>
      <c r="AP33" s="15">
        <f t="shared" si="15"/>
        <v>0</v>
      </c>
      <c r="AQ33" s="1" t="s">
        <v>829</v>
      </c>
      <c r="AV33" s="15">
        <f t="shared" si="16"/>
        <v>0</v>
      </c>
      <c r="AW33" s="15">
        <f t="shared" si="17"/>
        <v>0</v>
      </c>
      <c r="AX33" s="15">
        <f t="shared" si="18"/>
        <v>0</v>
      </c>
      <c r="AY33" s="1" t="s">
        <v>654</v>
      </c>
      <c r="AZ33" s="1" t="s">
        <v>299</v>
      </c>
      <c r="BA33" s="52" t="s">
        <v>56</v>
      </c>
      <c r="BC33" s="15">
        <f t="shared" si="19"/>
        <v>0</v>
      </c>
      <c r="BD33" s="15">
        <f t="shared" si="20"/>
        <v>0</v>
      </c>
      <c r="BE33" s="15">
        <v>0</v>
      </c>
      <c r="BF33" s="15">
        <f>33</f>
        <v>33</v>
      </c>
      <c r="BH33" s="15">
        <f t="shared" si="21"/>
        <v>0</v>
      </c>
      <c r="BI33" s="15">
        <f t="shared" si="22"/>
        <v>0</v>
      </c>
      <c r="BJ33" s="15">
        <f t="shared" si="23"/>
        <v>0</v>
      </c>
      <c r="BK33" s="15"/>
      <c r="BL33" s="15"/>
      <c r="BW33" s="15">
        <v>21</v>
      </c>
    </row>
    <row r="34" spans="1:75" ht="13.5" customHeight="1">
      <c r="A34" s="7" t="s">
        <v>587</v>
      </c>
      <c r="B34" s="11" t="s">
        <v>193</v>
      </c>
      <c r="C34" s="135" t="s">
        <v>202</v>
      </c>
      <c r="D34" s="130"/>
      <c r="E34" s="11" t="s">
        <v>695</v>
      </c>
      <c r="F34" s="15">
        <f>'Stavební rozpočet'!F404</f>
        <v>20</v>
      </c>
      <c r="G34" s="218">
        <f>'Stavební rozpočet'!G404</f>
        <v>0</v>
      </c>
      <c r="H34" s="15">
        <f t="shared" si="0"/>
        <v>0</v>
      </c>
      <c r="I34" s="15">
        <f t="shared" si="1"/>
        <v>0</v>
      </c>
      <c r="J34" s="15">
        <f t="shared" si="2"/>
        <v>0</v>
      </c>
      <c r="K34" s="1" t="s">
        <v>577</v>
      </c>
      <c r="L34" s="32"/>
      <c r="Z34" s="15">
        <f t="shared" si="3"/>
        <v>0</v>
      </c>
      <c r="AB34" s="15">
        <f t="shared" si="4"/>
        <v>0</v>
      </c>
      <c r="AC34" s="15">
        <f t="shared" si="5"/>
        <v>0</v>
      </c>
      <c r="AD34" s="15">
        <f t="shared" si="6"/>
        <v>0</v>
      </c>
      <c r="AE34" s="15">
        <f t="shared" si="7"/>
        <v>0</v>
      </c>
      <c r="AF34" s="15">
        <f t="shared" si="8"/>
        <v>0</v>
      </c>
      <c r="AG34" s="15">
        <f t="shared" si="9"/>
        <v>0</v>
      </c>
      <c r="AH34" s="15">
        <f t="shared" si="10"/>
        <v>0</v>
      </c>
      <c r="AI34" s="52" t="s">
        <v>901</v>
      </c>
      <c r="AJ34" s="15">
        <f t="shared" si="11"/>
        <v>0</v>
      </c>
      <c r="AK34" s="15">
        <f t="shared" si="12"/>
        <v>0</v>
      </c>
      <c r="AL34" s="15">
        <f t="shared" si="13"/>
        <v>0</v>
      </c>
      <c r="AN34" s="15">
        <v>21</v>
      </c>
      <c r="AO34" s="15">
        <f t="shared" si="14"/>
        <v>0</v>
      </c>
      <c r="AP34" s="15">
        <f t="shared" si="15"/>
        <v>0</v>
      </c>
      <c r="AQ34" s="1" t="s">
        <v>829</v>
      </c>
      <c r="AV34" s="15">
        <f t="shared" si="16"/>
        <v>0</v>
      </c>
      <c r="AW34" s="15">
        <f t="shared" si="17"/>
        <v>0</v>
      </c>
      <c r="AX34" s="15">
        <f t="shared" si="18"/>
        <v>0</v>
      </c>
      <c r="AY34" s="1" t="s">
        <v>654</v>
      </c>
      <c r="AZ34" s="1" t="s">
        <v>299</v>
      </c>
      <c r="BA34" s="52" t="s">
        <v>56</v>
      </c>
      <c r="BC34" s="15">
        <f t="shared" si="19"/>
        <v>0</v>
      </c>
      <c r="BD34" s="15">
        <f t="shared" si="20"/>
        <v>0</v>
      </c>
      <c r="BE34" s="15">
        <v>0</v>
      </c>
      <c r="BF34" s="15">
        <f>34</f>
        <v>34</v>
      </c>
      <c r="BH34" s="15">
        <f t="shared" si="21"/>
        <v>0</v>
      </c>
      <c r="BI34" s="15">
        <f t="shared" si="22"/>
        <v>0</v>
      </c>
      <c r="BJ34" s="15">
        <f t="shared" si="23"/>
        <v>0</v>
      </c>
      <c r="BK34" s="15"/>
      <c r="BL34" s="15"/>
      <c r="BW34" s="15">
        <v>21</v>
      </c>
    </row>
    <row r="35" spans="1:75" ht="13.5" customHeight="1">
      <c r="A35" s="7" t="s">
        <v>798</v>
      </c>
      <c r="B35" s="11" t="s">
        <v>679</v>
      </c>
      <c r="C35" s="135" t="s">
        <v>3</v>
      </c>
      <c r="D35" s="130"/>
      <c r="E35" s="11" t="s">
        <v>649</v>
      </c>
      <c r="F35" s="15">
        <f>'Stavební rozpočet'!F405</f>
        <v>1</v>
      </c>
      <c r="G35" s="218">
        <f>'Stavební rozpočet'!G405</f>
        <v>0</v>
      </c>
      <c r="H35" s="15">
        <f t="shared" si="0"/>
        <v>0</v>
      </c>
      <c r="I35" s="15">
        <f t="shared" si="1"/>
        <v>0</v>
      </c>
      <c r="J35" s="15">
        <f t="shared" si="2"/>
        <v>0</v>
      </c>
      <c r="K35" s="1" t="s">
        <v>577</v>
      </c>
      <c r="L35" s="32"/>
      <c r="Z35" s="15">
        <f t="shared" si="3"/>
        <v>0</v>
      </c>
      <c r="AB35" s="15">
        <f t="shared" si="4"/>
        <v>0</v>
      </c>
      <c r="AC35" s="15">
        <f t="shared" si="5"/>
        <v>0</v>
      </c>
      <c r="AD35" s="15">
        <f t="shared" si="6"/>
        <v>0</v>
      </c>
      <c r="AE35" s="15">
        <f t="shared" si="7"/>
        <v>0</v>
      </c>
      <c r="AF35" s="15">
        <f t="shared" si="8"/>
        <v>0</v>
      </c>
      <c r="AG35" s="15">
        <f t="shared" si="9"/>
        <v>0</v>
      </c>
      <c r="AH35" s="15">
        <f t="shared" si="10"/>
        <v>0</v>
      </c>
      <c r="AI35" s="52" t="s">
        <v>901</v>
      </c>
      <c r="AJ35" s="15">
        <f t="shared" si="11"/>
        <v>0</v>
      </c>
      <c r="AK35" s="15">
        <f t="shared" si="12"/>
        <v>0</v>
      </c>
      <c r="AL35" s="15">
        <f t="shared" si="13"/>
        <v>0</v>
      </c>
      <c r="AN35" s="15">
        <v>21</v>
      </c>
      <c r="AO35" s="15">
        <f t="shared" si="14"/>
        <v>0</v>
      </c>
      <c r="AP35" s="15">
        <f t="shared" si="15"/>
        <v>0</v>
      </c>
      <c r="AQ35" s="1" t="s">
        <v>829</v>
      </c>
      <c r="AV35" s="15">
        <f t="shared" si="16"/>
        <v>0</v>
      </c>
      <c r="AW35" s="15">
        <f t="shared" si="17"/>
        <v>0</v>
      </c>
      <c r="AX35" s="15">
        <f t="shared" si="18"/>
        <v>0</v>
      </c>
      <c r="AY35" s="1" t="s">
        <v>654</v>
      </c>
      <c r="AZ35" s="1" t="s">
        <v>299</v>
      </c>
      <c r="BA35" s="52" t="s">
        <v>56</v>
      </c>
      <c r="BC35" s="15">
        <f t="shared" si="19"/>
        <v>0</v>
      </c>
      <c r="BD35" s="15">
        <f t="shared" si="20"/>
        <v>0</v>
      </c>
      <c r="BE35" s="15">
        <v>0</v>
      </c>
      <c r="BF35" s="15">
        <f>35</f>
        <v>35</v>
      </c>
      <c r="BH35" s="15">
        <f t="shared" si="21"/>
        <v>0</v>
      </c>
      <c r="BI35" s="15">
        <f t="shared" si="22"/>
        <v>0</v>
      </c>
      <c r="BJ35" s="15">
        <f t="shared" si="23"/>
        <v>0</v>
      </c>
      <c r="BK35" s="15"/>
      <c r="BL35" s="15"/>
      <c r="BW35" s="15">
        <v>21</v>
      </c>
    </row>
    <row r="36" spans="1:75" ht="13.5" customHeight="1">
      <c r="A36" s="7" t="s">
        <v>403</v>
      </c>
      <c r="B36" s="11" t="s">
        <v>823</v>
      </c>
      <c r="C36" s="135" t="s">
        <v>231</v>
      </c>
      <c r="D36" s="130"/>
      <c r="E36" s="11" t="s">
        <v>649</v>
      </c>
      <c r="F36" s="15">
        <f>'Stavební rozpočet'!F406</f>
        <v>1</v>
      </c>
      <c r="G36" s="218">
        <v>0</v>
      </c>
      <c r="H36" s="15">
        <f t="shared" si="0"/>
        <v>0</v>
      </c>
      <c r="I36" s="15">
        <f t="shared" si="1"/>
        <v>0</v>
      </c>
      <c r="J36" s="15">
        <f t="shared" si="2"/>
        <v>0</v>
      </c>
      <c r="K36" s="1" t="s">
        <v>577</v>
      </c>
      <c r="L36" s="32"/>
      <c r="Z36" s="15">
        <f t="shared" si="3"/>
        <v>0</v>
      </c>
      <c r="AB36" s="15">
        <f t="shared" si="4"/>
        <v>0</v>
      </c>
      <c r="AC36" s="15">
        <f t="shared" si="5"/>
        <v>0</v>
      </c>
      <c r="AD36" s="15">
        <f t="shared" si="6"/>
        <v>0</v>
      </c>
      <c r="AE36" s="15">
        <f t="shared" si="7"/>
        <v>0</v>
      </c>
      <c r="AF36" s="15">
        <f t="shared" si="8"/>
        <v>0</v>
      </c>
      <c r="AG36" s="15">
        <f t="shared" si="9"/>
        <v>0</v>
      </c>
      <c r="AH36" s="15">
        <f t="shared" si="10"/>
        <v>0</v>
      </c>
      <c r="AI36" s="52" t="s">
        <v>901</v>
      </c>
      <c r="AJ36" s="15">
        <f t="shared" si="11"/>
        <v>0</v>
      </c>
      <c r="AK36" s="15">
        <f t="shared" si="12"/>
        <v>0</v>
      </c>
      <c r="AL36" s="15">
        <f t="shared" si="13"/>
        <v>0</v>
      </c>
      <c r="AN36" s="15">
        <v>21</v>
      </c>
      <c r="AO36" s="15">
        <f t="shared" si="14"/>
        <v>0</v>
      </c>
      <c r="AP36" s="15">
        <f t="shared" si="15"/>
        <v>0</v>
      </c>
      <c r="AQ36" s="1" t="s">
        <v>829</v>
      </c>
      <c r="AV36" s="15">
        <f t="shared" si="16"/>
        <v>0</v>
      </c>
      <c r="AW36" s="15">
        <f t="shared" si="17"/>
        <v>0</v>
      </c>
      <c r="AX36" s="15">
        <f t="shared" si="18"/>
        <v>0</v>
      </c>
      <c r="AY36" s="1" t="s">
        <v>654</v>
      </c>
      <c r="AZ36" s="1" t="s">
        <v>299</v>
      </c>
      <c r="BA36" s="52" t="s">
        <v>56</v>
      </c>
      <c r="BC36" s="15">
        <f t="shared" si="19"/>
        <v>0</v>
      </c>
      <c r="BD36" s="15">
        <f t="shared" si="20"/>
        <v>0</v>
      </c>
      <c r="BE36" s="15">
        <v>0</v>
      </c>
      <c r="BF36" s="15">
        <f>36</f>
        <v>36</v>
      </c>
      <c r="BH36" s="15">
        <f t="shared" si="21"/>
        <v>0</v>
      </c>
      <c r="BI36" s="15">
        <f t="shared" si="22"/>
        <v>0</v>
      </c>
      <c r="BJ36" s="15">
        <f t="shared" si="23"/>
        <v>0</v>
      </c>
      <c r="BK36" s="15"/>
      <c r="BL36" s="15"/>
      <c r="BW36" s="15">
        <v>21</v>
      </c>
    </row>
    <row r="37" spans="1:75" ht="13.5" customHeight="1">
      <c r="A37" s="7" t="s">
        <v>93</v>
      </c>
      <c r="B37" s="11" t="s">
        <v>141</v>
      </c>
      <c r="C37" s="135" t="s">
        <v>359</v>
      </c>
      <c r="D37" s="130"/>
      <c r="E37" s="11" t="s">
        <v>649</v>
      </c>
      <c r="F37" s="15">
        <f>'Stavební rozpočet'!F407</f>
        <v>1</v>
      </c>
      <c r="G37" s="218">
        <f>'Stavební rozpočet'!G407</f>
        <v>0</v>
      </c>
      <c r="H37" s="15">
        <f t="shared" si="0"/>
        <v>0</v>
      </c>
      <c r="I37" s="15">
        <f t="shared" si="1"/>
        <v>0</v>
      </c>
      <c r="J37" s="15">
        <f t="shared" si="2"/>
        <v>0</v>
      </c>
      <c r="K37" s="1" t="s">
        <v>577</v>
      </c>
      <c r="L37" s="32"/>
      <c r="Z37" s="15">
        <f t="shared" si="3"/>
        <v>0</v>
      </c>
      <c r="AB37" s="15">
        <f t="shared" si="4"/>
        <v>0</v>
      </c>
      <c r="AC37" s="15">
        <f t="shared" si="5"/>
        <v>0</v>
      </c>
      <c r="AD37" s="15">
        <f t="shared" si="6"/>
        <v>0</v>
      </c>
      <c r="AE37" s="15">
        <f t="shared" si="7"/>
        <v>0</v>
      </c>
      <c r="AF37" s="15">
        <f t="shared" si="8"/>
        <v>0</v>
      </c>
      <c r="AG37" s="15">
        <f t="shared" si="9"/>
        <v>0</v>
      </c>
      <c r="AH37" s="15">
        <f t="shared" si="10"/>
        <v>0</v>
      </c>
      <c r="AI37" s="52" t="s">
        <v>901</v>
      </c>
      <c r="AJ37" s="15">
        <f t="shared" si="11"/>
        <v>0</v>
      </c>
      <c r="AK37" s="15">
        <f t="shared" si="12"/>
        <v>0</v>
      </c>
      <c r="AL37" s="15">
        <f t="shared" si="13"/>
        <v>0</v>
      </c>
      <c r="AN37" s="15">
        <v>21</v>
      </c>
      <c r="AO37" s="15">
        <f t="shared" si="14"/>
        <v>0</v>
      </c>
      <c r="AP37" s="15">
        <f t="shared" si="15"/>
        <v>0</v>
      </c>
      <c r="AQ37" s="1" t="s">
        <v>829</v>
      </c>
      <c r="AV37" s="15">
        <f t="shared" si="16"/>
        <v>0</v>
      </c>
      <c r="AW37" s="15">
        <f t="shared" si="17"/>
        <v>0</v>
      </c>
      <c r="AX37" s="15">
        <f t="shared" si="18"/>
        <v>0</v>
      </c>
      <c r="AY37" s="1" t="s">
        <v>654</v>
      </c>
      <c r="AZ37" s="1" t="s">
        <v>299</v>
      </c>
      <c r="BA37" s="52" t="s">
        <v>56</v>
      </c>
      <c r="BC37" s="15">
        <f t="shared" si="19"/>
        <v>0</v>
      </c>
      <c r="BD37" s="15">
        <f t="shared" si="20"/>
        <v>0</v>
      </c>
      <c r="BE37" s="15">
        <v>0</v>
      </c>
      <c r="BF37" s="15">
        <f>37</f>
        <v>37</v>
      </c>
      <c r="BH37" s="15">
        <f t="shared" si="21"/>
        <v>0</v>
      </c>
      <c r="BI37" s="15">
        <f t="shared" si="22"/>
        <v>0</v>
      </c>
      <c r="BJ37" s="15">
        <f t="shared" si="23"/>
        <v>0</v>
      </c>
      <c r="BK37" s="15"/>
      <c r="BL37" s="15"/>
      <c r="BW37" s="15">
        <v>21</v>
      </c>
    </row>
    <row r="38" spans="1:75" ht="13.5" customHeight="1">
      <c r="A38" s="7" t="s">
        <v>223</v>
      </c>
      <c r="B38" s="11" t="s">
        <v>62</v>
      </c>
      <c r="C38" s="135" t="s">
        <v>282</v>
      </c>
      <c r="D38" s="130"/>
      <c r="E38" s="11" t="s">
        <v>649</v>
      </c>
      <c r="F38" s="15">
        <f>'Stavební rozpočet'!F408</f>
        <v>1</v>
      </c>
      <c r="G38" s="218">
        <f>'Stavební rozpočet'!G408</f>
        <v>0</v>
      </c>
      <c r="H38" s="15">
        <f t="shared" si="0"/>
        <v>0</v>
      </c>
      <c r="I38" s="15">
        <f t="shared" si="1"/>
        <v>0</v>
      </c>
      <c r="J38" s="15">
        <f t="shared" si="2"/>
        <v>0</v>
      </c>
      <c r="K38" s="1" t="s">
        <v>577</v>
      </c>
      <c r="L38" s="32"/>
      <c r="Z38" s="15">
        <f t="shared" si="3"/>
        <v>0</v>
      </c>
      <c r="AB38" s="15">
        <f t="shared" si="4"/>
        <v>0</v>
      </c>
      <c r="AC38" s="15">
        <f t="shared" si="5"/>
        <v>0</v>
      </c>
      <c r="AD38" s="15">
        <f t="shared" si="6"/>
        <v>0</v>
      </c>
      <c r="AE38" s="15">
        <f t="shared" si="7"/>
        <v>0</v>
      </c>
      <c r="AF38" s="15">
        <f t="shared" si="8"/>
        <v>0</v>
      </c>
      <c r="AG38" s="15">
        <f t="shared" si="9"/>
        <v>0</v>
      </c>
      <c r="AH38" s="15">
        <f t="shared" si="10"/>
        <v>0</v>
      </c>
      <c r="AI38" s="52" t="s">
        <v>901</v>
      </c>
      <c r="AJ38" s="15">
        <f t="shared" si="11"/>
        <v>0</v>
      </c>
      <c r="AK38" s="15">
        <f t="shared" si="12"/>
        <v>0</v>
      </c>
      <c r="AL38" s="15">
        <f t="shared" si="13"/>
        <v>0</v>
      </c>
      <c r="AN38" s="15">
        <v>21</v>
      </c>
      <c r="AO38" s="15">
        <f t="shared" si="14"/>
        <v>0</v>
      </c>
      <c r="AP38" s="15">
        <f t="shared" si="15"/>
        <v>0</v>
      </c>
      <c r="AQ38" s="1" t="s">
        <v>829</v>
      </c>
      <c r="AV38" s="15">
        <f t="shared" si="16"/>
        <v>0</v>
      </c>
      <c r="AW38" s="15">
        <f t="shared" si="17"/>
        <v>0</v>
      </c>
      <c r="AX38" s="15">
        <f t="shared" si="18"/>
        <v>0</v>
      </c>
      <c r="AY38" s="1" t="s">
        <v>654</v>
      </c>
      <c r="AZ38" s="1" t="s">
        <v>299</v>
      </c>
      <c r="BA38" s="52" t="s">
        <v>56</v>
      </c>
      <c r="BC38" s="15">
        <f t="shared" si="19"/>
        <v>0</v>
      </c>
      <c r="BD38" s="15">
        <f t="shared" si="20"/>
        <v>0</v>
      </c>
      <c r="BE38" s="15">
        <v>0</v>
      </c>
      <c r="BF38" s="15">
        <f>38</f>
        <v>38</v>
      </c>
      <c r="BH38" s="15">
        <f t="shared" si="21"/>
        <v>0</v>
      </c>
      <c r="BI38" s="15">
        <f t="shared" si="22"/>
        <v>0</v>
      </c>
      <c r="BJ38" s="15">
        <f t="shared" si="23"/>
        <v>0</v>
      </c>
      <c r="BK38" s="15"/>
      <c r="BL38" s="15"/>
      <c r="BW38" s="15">
        <v>21</v>
      </c>
    </row>
    <row r="39" spans="1:75" ht="13.5" customHeight="1">
      <c r="A39" s="7" t="s">
        <v>123</v>
      </c>
      <c r="B39" s="11" t="s">
        <v>387</v>
      </c>
      <c r="C39" s="135" t="s">
        <v>715</v>
      </c>
      <c r="D39" s="130"/>
      <c r="E39" s="11" t="s">
        <v>649</v>
      </c>
      <c r="F39" s="15">
        <f>'Stavební rozpočet'!F409</f>
        <v>1</v>
      </c>
      <c r="G39" s="218">
        <f>'Stavební rozpočet'!G409</f>
        <v>0</v>
      </c>
      <c r="H39" s="15">
        <f t="shared" si="0"/>
        <v>0</v>
      </c>
      <c r="I39" s="15">
        <f t="shared" si="1"/>
        <v>0</v>
      </c>
      <c r="J39" s="15">
        <f t="shared" si="2"/>
        <v>0</v>
      </c>
      <c r="K39" s="1" t="s">
        <v>577</v>
      </c>
      <c r="L39" s="32"/>
      <c r="Z39" s="15">
        <f t="shared" si="3"/>
        <v>0</v>
      </c>
      <c r="AB39" s="15">
        <f t="shared" si="4"/>
        <v>0</v>
      </c>
      <c r="AC39" s="15">
        <f t="shared" si="5"/>
        <v>0</v>
      </c>
      <c r="AD39" s="15">
        <f t="shared" si="6"/>
        <v>0</v>
      </c>
      <c r="AE39" s="15">
        <f t="shared" si="7"/>
        <v>0</v>
      </c>
      <c r="AF39" s="15">
        <f t="shared" si="8"/>
        <v>0</v>
      </c>
      <c r="AG39" s="15">
        <f t="shared" si="9"/>
        <v>0</v>
      </c>
      <c r="AH39" s="15">
        <f t="shared" si="10"/>
        <v>0</v>
      </c>
      <c r="AI39" s="52" t="s">
        <v>901</v>
      </c>
      <c r="AJ39" s="15">
        <f t="shared" si="11"/>
        <v>0</v>
      </c>
      <c r="AK39" s="15">
        <f t="shared" si="12"/>
        <v>0</v>
      </c>
      <c r="AL39" s="15">
        <f t="shared" si="13"/>
        <v>0</v>
      </c>
      <c r="AN39" s="15">
        <v>21</v>
      </c>
      <c r="AO39" s="15">
        <f t="shared" si="14"/>
        <v>0</v>
      </c>
      <c r="AP39" s="15">
        <f t="shared" si="15"/>
        <v>0</v>
      </c>
      <c r="AQ39" s="1" t="s">
        <v>829</v>
      </c>
      <c r="AV39" s="15">
        <f t="shared" si="16"/>
        <v>0</v>
      </c>
      <c r="AW39" s="15">
        <f t="shared" si="17"/>
        <v>0</v>
      </c>
      <c r="AX39" s="15">
        <f t="shared" si="18"/>
        <v>0</v>
      </c>
      <c r="AY39" s="1" t="s">
        <v>654</v>
      </c>
      <c r="AZ39" s="1" t="s">
        <v>299</v>
      </c>
      <c r="BA39" s="52" t="s">
        <v>56</v>
      </c>
      <c r="BC39" s="15">
        <f t="shared" si="19"/>
        <v>0</v>
      </c>
      <c r="BD39" s="15">
        <f t="shared" si="20"/>
        <v>0</v>
      </c>
      <c r="BE39" s="15">
        <v>0</v>
      </c>
      <c r="BF39" s="15">
        <f>39</f>
        <v>39</v>
      </c>
      <c r="BH39" s="15">
        <f t="shared" si="21"/>
        <v>0</v>
      </c>
      <c r="BI39" s="15">
        <f t="shared" si="22"/>
        <v>0</v>
      </c>
      <c r="BJ39" s="15">
        <f t="shared" si="23"/>
        <v>0</v>
      </c>
      <c r="BK39" s="15"/>
      <c r="BL39" s="15"/>
      <c r="BW39" s="15">
        <v>21</v>
      </c>
    </row>
    <row r="40" spans="1:75" ht="13.5" customHeight="1">
      <c r="A40" s="7" t="s">
        <v>815</v>
      </c>
      <c r="B40" s="11" t="s">
        <v>409</v>
      </c>
      <c r="C40" s="135" t="s">
        <v>699</v>
      </c>
      <c r="D40" s="130"/>
      <c r="E40" s="11" t="s">
        <v>545</v>
      </c>
      <c r="F40" s="15">
        <f>'Stavební rozpočet'!F410</f>
        <v>5</v>
      </c>
      <c r="G40" s="218">
        <f>'Stavební rozpočet'!G410</f>
        <v>0</v>
      </c>
      <c r="H40" s="15">
        <f t="shared" si="0"/>
        <v>0</v>
      </c>
      <c r="I40" s="15">
        <f t="shared" si="1"/>
        <v>0</v>
      </c>
      <c r="J40" s="15">
        <f t="shared" si="2"/>
        <v>0</v>
      </c>
      <c r="K40" s="1" t="s">
        <v>577</v>
      </c>
      <c r="L40" s="32"/>
      <c r="Z40" s="15">
        <f t="shared" si="3"/>
        <v>0</v>
      </c>
      <c r="AB40" s="15">
        <f t="shared" si="4"/>
        <v>0</v>
      </c>
      <c r="AC40" s="15">
        <f t="shared" si="5"/>
        <v>0</v>
      </c>
      <c r="AD40" s="15">
        <f t="shared" si="6"/>
        <v>0</v>
      </c>
      <c r="AE40" s="15">
        <f t="shared" si="7"/>
        <v>0</v>
      </c>
      <c r="AF40" s="15">
        <f t="shared" si="8"/>
        <v>0</v>
      </c>
      <c r="AG40" s="15">
        <f t="shared" si="9"/>
        <v>0</v>
      </c>
      <c r="AH40" s="15">
        <f t="shared" si="10"/>
        <v>0</v>
      </c>
      <c r="AI40" s="52" t="s">
        <v>901</v>
      </c>
      <c r="AJ40" s="15">
        <f t="shared" si="11"/>
        <v>0</v>
      </c>
      <c r="AK40" s="15">
        <f t="shared" si="12"/>
        <v>0</v>
      </c>
      <c r="AL40" s="15">
        <f t="shared" si="13"/>
        <v>0</v>
      </c>
      <c r="AN40" s="15">
        <v>21</v>
      </c>
      <c r="AO40" s="15">
        <f t="shared" si="14"/>
        <v>0</v>
      </c>
      <c r="AP40" s="15">
        <f t="shared" si="15"/>
        <v>0</v>
      </c>
      <c r="AQ40" s="1" t="s">
        <v>829</v>
      </c>
      <c r="AV40" s="15">
        <f t="shared" si="16"/>
        <v>0</v>
      </c>
      <c r="AW40" s="15">
        <f t="shared" si="17"/>
        <v>0</v>
      </c>
      <c r="AX40" s="15">
        <f t="shared" si="18"/>
        <v>0</v>
      </c>
      <c r="AY40" s="1" t="s">
        <v>654</v>
      </c>
      <c r="AZ40" s="1" t="s">
        <v>299</v>
      </c>
      <c r="BA40" s="52" t="s">
        <v>56</v>
      </c>
      <c r="BC40" s="15">
        <f t="shared" si="19"/>
        <v>0</v>
      </c>
      <c r="BD40" s="15">
        <f t="shared" si="20"/>
        <v>0</v>
      </c>
      <c r="BE40" s="15">
        <v>0</v>
      </c>
      <c r="BF40" s="15">
        <f>40</f>
        <v>40</v>
      </c>
      <c r="BH40" s="15">
        <f t="shared" si="21"/>
        <v>0</v>
      </c>
      <c r="BI40" s="15">
        <f t="shared" si="22"/>
        <v>0</v>
      </c>
      <c r="BJ40" s="15">
        <f t="shared" si="23"/>
        <v>0</v>
      </c>
      <c r="BK40" s="15"/>
      <c r="BL40" s="15"/>
      <c r="BW40" s="15">
        <v>21</v>
      </c>
    </row>
    <row r="41" spans="1:75" ht="13.5" customHeight="1">
      <c r="A41" s="7" t="s">
        <v>899</v>
      </c>
      <c r="B41" s="11" t="s">
        <v>907</v>
      </c>
      <c r="C41" s="135" t="s">
        <v>906</v>
      </c>
      <c r="D41" s="130"/>
      <c r="E41" s="11" t="s">
        <v>545</v>
      </c>
      <c r="F41" s="15">
        <f>'Stavební rozpočet'!F411</f>
        <v>2</v>
      </c>
      <c r="G41" s="218">
        <f>'Stavební rozpočet'!G411</f>
        <v>0</v>
      </c>
      <c r="H41" s="15">
        <f t="shared" si="0"/>
        <v>0</v>
      </c>
      <c r="I41" s="15">
        <f t="shared" si="1"/>
        <v>0</v>
      </c>
      <c r="J41" s="15">
        <f t="shared" si="2"/>
        <v>0</v>
      </c>
      <c r="K41" s="1" t="s">
        <v>577</v>
      </c>
      <c r="L41" s="32"/>
      <c r="Z41" s="15">
        <f t="shared" si="3"/>
        <v>0</v>
      </c>
      <c r="AB41" s="15">
        <f t="shared" si="4"/>
        <v>0</v>
      </c>
      <c r="AC41" s="15">
        <f t="shared" si="5"/>
        <v>0</v>
      </c>
      <c r="AD41" s="15">
        <f t="shared" si="6"/>
        <v>0</v>
      </c>
      <c r="AE41" s="15">
        <f t="shared" si="7"/>
        <v>0</v>
      </c>
      <c r="AF41" s="15">
        <f t="shared" si="8"/>
        <v>0</v>
      </c>
      <c r="AG41" s="15">
        <f t="shared" si="9"/>
        <v>0</v>
      </c>
      <c r="AH41" s="15">
        <f t="shared" si="10"/>
        <v>0</v>
      </c>
      <c r="AI41" s="52" t="s">
        <v>901</v>
      </c>
      <c r="AJ41" s="15">
        <f t="shared" si="11"/>
        <v>0</v>
      </c>
      <c r="AK41" s="15">
        <f t="shared" si="12"/>
        <v>0</v>
      </c>
      <c r="AL41" s="15">
        <f t="shared" si="13"/>
        <v>0</v>
      </c>
      <c r="AN41" s="15">
        <v>21</v>
      </c>
      <c r="AO41" s="15">
        <f t="shared" si="14"/>
        <v>0</v>
      </c>
      <c r="AP41" s="15">
        <f t="shared" si="15"/>
        <v>0</v>
      </c>
      <c r="AQ41" s="1" t="s">
        <v>829</v>
      </c>
      <c r="AV41" s="15">
        <f t="shared" si="16"/>
        <v>0</v>
      </c>
      <c r="AW41" s="15">
        <f t="shared" si="17"/>
        <v>0</v>
      </c>
      <c r="AX41" s="15">
        <f t="shared" si="18"/>
        <v>0</v>
      </c>
      <c r="AY41" s="1" t="s">
        <v>654</v>
      </c>
      <c r="AZ41" s="1" t="s">
        <v>299</v>
      </c>
      <c r="BA41" s="52" t="s">
        <v>56</v>
      </c>
      <c r="BC41" s="15">
        <f t="shared" si="19"/>
        <v>0</v>
      </c>
      <c r="BD41" s="15">
        <f t="shared" si="20"/>
        <v>0</v>
      </c>
      <c r="BE41" s="15">
        <v>0</v>
      </c>
      <c r="BF41" s="15">
        <f>41</f>
        <v>41</v>
      </c>
      <c r="BH41" s="15">
        <f t="shared" si="21"/>
        <v>0</v>
      </c>
      <c r="BI41" s="15">
        <f t="shared" si="22"/>
        <v>0</v>
      </c>
      <c r="BJ41" s="15">
        <f t="shared" si="23"/>
        <v>0</v>
      </c>
      <c r="BK41" s="15"/>
      <c r="BL41" s="15"/>
      <c r="BW41" s="15">
        <v>21</v>
      </c>
    </row>
    <row r="42" spans="1:75" ht="13.5" customHeight="1">
      <c r="A42" s="7" t="s">
        <v>73</v>
      </c>
      <c r="B42" s="11" t="s">
        <v>448</v>
      </c>
      <c r="C42" s="135" t="s">
        <v>686</v>
      </c>
      <c r="D42" s="130"/>
      <c r="E42" s="11" t="s">
        <v>649</v>
      </c>
      <c r="F42" s="15">
        <f>'Stavební rozpočet'!F412</f>
        <v>1</v>
      </c>
      <c r="G42" s="218">
        <f>'Stavební rozpočet'!G412</f>
        <v>0</v>
      </c>
      <c r="H42" s="15">
        <f t="shared" si="0"/>
        <v>0</v>
      </c>
      <c r="I42" s="15">
        <f t="shared" si="1"/>
        <v>0</v>
      </c>
      <c r="J42" s="15">
        <f t="shared" si="2"/>
        <v>0</v>
      </c>
      <c r="K42" s="1" t="s">
        <v>577</v>
      </c>
      <c r="L42" s="32"/>
      <c r="Z42" s="15">
        <f t="shared" si="3"/>
        <v>0</v>
      </c>
      <c r="AB42" s="15">
        <f t="shared" si="4"/>
        <v>0</v>
      </c>
      <c r="AC42" s="15">
        <f t="shared" si="5"/>
        <v>0</v>
      </c>
      <c r="AD42" s="15">
        <f t="shared" si="6"/>
        <v>0</v>
      </c>
      <c r="AE42" s="15">
        <f t="shared" si="7"/>
        <v>0</v>
      </c>
      <c r="AF42" s="15">
        <f t="shared" si="8"/>
        <v>0</v>
      </c>
      <c r="AG42" s="15">
        <f t="shared" si="9"/>
        <v>0</v>
      </c>
      <c r="AH42" s="15">
        <f t="shared" si="10"/>
        <v>0</v>
      </c>
      <c r="AI42" s="52" t="s">
        <v>901</v>
      </c>
      <c r="AJ42" s="15">
        <f t="shared" si="11"/>
        <v>0</v>
      </c>
      <c r="AK42" s="15">
        <f t="shared" si="12"/>
        <v>0</v>
      </c>
      <c r="AL42" s="15">
        <f t="shared" si="13"/>
        <v>0</v>
      </c>
      <c r="AN42" s="15">
        <v>21</v>
      </c>
      <c r="AO42" s="15">
        <f t="shared" si="14"/>
        <v>0</v>
      </c>
      <c r="AP42" s="15">
        <f t="shared" si="15"/>
        <v>0</v>
      </c>
      <c r="AQ42" s="1" t="s">
        <v>829</v>
      </c>
      <c r="AV42" s="15">
        <f t="shared" si="16"/>
        <v>0</v>
      </c>
      <c r="AW42" s="15">
        <f t="shared" si="17"/>
        <v>0</v>
      </c>
      <c r="AX42" s="15">
        <f t="shared" si="18"/>
        <v>0</v>
      </c>
      <c r="AY42" s="1" t="s">
        <v>654</v>
      </c>
      <c r="AZ42" s="1" t="s">
        <v>299</v>
      </c>
      <c r="BA42" s="52" t="s">
        <v>56</v>
      </c>
      <c r="BC42" s="15">
        <f t="shared" si="19"/>
        <v>0</v>
      </c>
      <c r="BD42" s="15">
        <f t="shared" si="20"/>
        <v>0</v>
      </c>
      <c r="BE42" s="15">
        <v>0</v>
      </c>
      <c r="BF42" s="15">
        <f>42</f>
        <v>42</v>
      </c>
      <c r="BH42" s="15">
        <f t="shared" si="21"/>
        <v>0</v>
      </c>
      <c r="BI42" s="15">
        <f t="shared" si="22"/>
        <v>0</v>
      </c>
      <c r="BJ42" s="15">
        <f t="shared" si="23"/>
        <v>0</v>
      </c>
      <c r="BK42" s="15"/>
      <c r="BL42" s="15"/>
      <c r="BW42" s="15">
        <v>21</v>
      </c>
    </row>
    <row r="43" spans="1:75" ht="13.5" customHeight="1">
      <c r="A43" s="7" t="s">
        <v>541</v>
      </c>
      <c r="B43" s="11" t="s">
        <v>601</v>
      </c>
      <c r="C43" s="135" t="s">
        <v>210</v>
      </c>
      <c r="D43" s="130"/>
      <c r="E43" s="11" t="s">
        <v>415</v>
      </c>
      <c r="F43" s="15">
        <f>'Stavební rozpočet'!F413</f>
        <v>0.5</v>
      </c>
      <c r="G43" s="218">
        <f>'Stavební rozpočet'!G413</f>
        <v>0</v>
      </c>
      <c r="H43" s="15">
        <f t="shared" si="0"/>
        <v>0</v>
      </c>
      <c r="I43" s="15">
        <f t="shared" si="1"/>
        <v>0</v>
      </c>
      <c r="J43" s="15">
        <f t="shared" si="2"/>
        <v>0</v>
      </c>
      <c r="K43" s="1" t="s">
        <v>577</v>
      </c>
      <c r="L43" s="32"/>
      <c r="Z43" s="15">
        <f t="shared" si="3"/>
        <v>0</v>
      </c>
      <c r="AB43" s="15">
        <f t="shared" si="4"/>
        <v>0</v>
      </c>
      <c r="AC43" s="15">
        <f t="shared" si="5"/>
        <v>0</v>
      </c>
      <c r="AD43" s="15">
        <f t="shared" si="6"/>
        <v>0</v>
      </c>
      <c r="AE43" s="15">
        <f t="shared" si="7"/>
        <v>0</v>
      </c>
      <c r="AF43" s="15">
        <f t="shared" si="8"/>
        <v>0</v>
      </c>
      <c r="AG43" s="15">
        <f t="shared" si="9"/>
        <v>0</v>
      </c>
      <c r="AH43" s="15">
        <f t="shared" si="10"/>
        <v>0</v>
      </c>
      <c r="AI43" s="52" t="s">
        <v>901</v>
      </c>
      <c r="AJ43" s="15">
        <f t="shared" si="11"/>
        <v>0</v>
      </c>
      <c r="AK43" s="15">
        <f t="shared" si="12"/>
        <v>0</v>
      </c>
      <c r="AL43" s="15">
        <f t="shared" si="13"/>
        <v>0</v>
      </c>
      <c r="AN43" s="15">
        <v>21</v>
      </c>
      <c r="AO43" s="15">
        <f t="shared" si="14"/>
        <v>0</v>
      </c>
      <c r="AP43" s="15">
        <f t="shared" si="15"/>
        <v>0</v>
      </c>
      <c r="AQ43" s="1" t="s">
        <v>829</v>
      </c>
      <c r="AV43" s="15">
        <f t="shared" si="16"/>
        <v>0</v>
      </c>
      <c r="AW43" s="15">
        <f t="shared" si="17"/>
        <v>0</v>
      </c>
      <c r="AX43" s="15">
        <f t="shared" si="18"/>
        <v>0</v>
      </c>
      <c r="AY43" s="1" t="s">
        <v>654</v>
      </c>
      <c r="AZ43" s="1" t="s">
        <v>299</v>
      </c>
      <c r="BA43" s="52" t="s">
        <v>56</v>
      </c>
      <c r="BC43" s="15">
        <f t="shared" si="19"/>
        <v>0</v>
      </c>
      <c r="BD43" s="15">
        <f t="shared" si="20"/>
        <v>0</v>
      </c>
      <c r="BE43" s="15">
        <v>0</v>
      </c>
      <c r="BF43" s="15">
        <f>43</f>
        <v>43</v>
      </c>
      <c r="BH43" s="15">
        <f t="shared" si="21"/>
        <v>0</v>
      </c>
      <c r="BI43" s="15">
        <f t="shared" si="22"/>
        <v>0</v>
      </c>
      <c r="BJ43" s="15">
        <f t="shared" si="23"/>
        <v>0</v>
      </c>
      <c r="BK43" s="15"/>
      <c r="BL43" s="15"/>
      <c r="BW43" s="15">
        <v>21</v>
      </c>
    </row>
    <row r="44" spans="1:75" ht="27" customHeight="1">
      <c r="A44" s="7" t="s">
        <v>504</v>
      </c>
      <c r="B44" s="11" t="s">
        <v>620</v>
      </c>
      <c r="C44" s="135" t="s">
        <v>397</v>
      </c>
      <c r="D44" s="130"/>
      <c r="E44" s="11" t="s">
        <v>649</v>
      </c>
      <c r="F44" s="15">
        <f>'Stavební rozpočet'!F414</f>
        <v>1</v>
      </c>
      <c r="G44" s="218">
        <f>'Stavební rozpočet'!G414</f>
        <v>0</v>
      </c>
      <c r="H44" s="15">
        <f t="shared" si="0"/>
        <v>0</v>
      </c>
      <c r="I44" s="15">
        <f t="shared" si="1"/>
        <v>0</v>
      </c>
      <c r="J44" s="15">
        <f t="shared" si="2"/>
        <v>0</v>
      </c>
      <c r="K44" s="1" t="s">
        <v>577</v>
      </c>
      <c r="L44" s="32"/>
      <c r="Z44" s="15">
        <f t="shared" si="3"/>
        <v>0</v>
      </c>
      <c r="AB44" s="15">
        <f t="shared" si="4"/>
        <v>0</v>
      </c>
      <c r="AC44" s="15">
        <f t="shared" si="5"/>
        <v>0</v>
      </c>
      <c r="AD44" s="15">
        <f t="shared" si="6"/>
        <v>0</v>
      </c>
      <c r="AE44" s="15">
        <f t="shared" si="7"/>
        <v>0</v>
      </c>
      <c r="AF44" s="15">
        <f t="shared" si="8"/>
        <v>0</v>
      </c>
      <c r="AG44" s="15">
        <f t="shared" si="9"/>
        <v>0</v>
      </c>
      <c r="AH44" s="15">
        <f t="shared" si="10"/>
        <v>0</v>
      </c>
      <c r="AI44" s="52" t="s">
        <v>901</v>
      </c>
      <c r="AJ44" s="15">
        <f t="shared" si="11"/>
        <v>0</v>
      </c>
      <c r="AK44" s="15">
        <f t="shared" si="12"/>
        <v>0</v>
      </c>
      <c r="AL44" s="15">
        <f t="shared" si="13"/>
        <v>0</v>
      </c>
      <c r="AN44" s="15">
        <v>21</v>
      </c>
      <c r="AO44" s="15">
        <f t="shared" si="14"/>
        <v>0</v>
      </c>
      <c r="AP44" s="15">
        <f t="shared" si="15"/>
        <v>0</v>
      </c>
      <c r="AQ44" s="1" t="s">
        <v>829</v>
      </c>
      <c r="AV44" s="15">
        <f t="shared" si="16"/>
        <v>0</v>
      </c>
      <c r="AW44" s="15">
        <f t="shared" si="17"/>
        <v>0</v>
      </c>
      <c r="AX44" s="15">
        <f t="shared" si="18"/>
        <v>0</v>
      </c>
      <c r="AY44" s="1" t="s">
        <v>654</v>
      </c>
      <c r="AZ44" s="1" t="s">
        <v>299</v>
      </c>
      <c r="BA44" s="52" t="s">
        <v>56</v>
      </c>
      <c r="BC44" s="15">
        <f t="shared" si="19"/>
        <v>0</v>
      </c>
      <c r="BD44" s="15">
        <f t="shared" si="20"/>
        <v>0</v>
      </c>
      <c r="BE44" s="15">
        <v>0</v>
      </c>
      <c r="BF44" s="15">
        <f>44</f>
        <v>44</v>
      </c>
      <c r="BH44" s="15">
        <f t="shared" si="21"/>
        <v>0</v>
      </c>
      <c r="BI44" s="15">
        <f t="shared" si="22"/>
        <v>0</v>
      </c>
      <c r="BJ44" s="15">
        <f t="shared" si="23"/>
        <v>0</v>
      </c>
      <c r="BK44" s="15"/>
      <c r="BL44" s="15"/>
      <c r="BW44" s="15">
        <v>21</v>
      </c>
    </row>
    <row r="45" spans="1:75" ht="13.5" customHeight="1">
      <c r="A45" s="7" t="s">
        <v>702</v>
      </c>
      <c r="B45" s="11" t="s">
        <v>59</v>
      </c>
      <c r="C45" s="135" t="s">
        <v>833</v>
      </c>
      <c r="D45" s="130"/>
      <c r="E45" s="11" t="s">
        <v>649</v>
      </c>
      <c r="F45" s="15">
        <f>'Stavební rozpočet'!F415</f>
        <v>1</v>
      </c>
      <c r="G45" s="218">
        <f>'Stavební rozpočet'!G415</f>
        <v>0</v>
      </c>
      <c r="H45" s="15">
        <f t="shared" si="0"/>
        <v>0</v>
      </c>
      <c r="I45" s="15">
        <f t="shared" si="1"/>
        <v>0</v>
      </c>
      <c r="J45" s="15">
        <f t="shared" si="2"/>
        <v>0</v>
      </c>
      <c r="K45" s="1" t="s">
        <v>577</v>
      </c>
      <c r="L45" s="32"/>
      <c r="Z45" s="15">
        <f t="shared" si="3"/>
        <v>0</v>
      </c>
      <c r="AB45" s="15">
        <f t="shared" si="4"/>
        <v>0</v>
      </c>
      <c r="AC45" s="15">
        <f t="shared" si="5"/>
        <v>0</v>
      </c>
      <c r="AD45" s="15">
        <f t="shared" si="6"/>
        <v>0</v>
      </c>
      <c r="AE45" s="15">
        <f t="shared" si="7"/>
        <v>0</v>
      </c>
      <c r="AF45" s="15">
        <f t="shared" si="8"/>
        <v>0</v>
      </c>
      <c r="AG45" s="15">
        <f t="shared" si="9"/>
        <v>0</v>
      </c>
      <c r="AH45" s="15">
        <f t="shared" si="10"/>
        <v>0</v>
      </c>
      <c r="AI45" s="52" t="s">
        <v>901</v>
      </c>
      <c r="AJ45" s="15">
        <f t="shared" si="11"/>
        <v>0</v>
      </c>
      <c r="AK45" s="15">
        <f t="shared" si="12"/>
        <v>0</v>
      </c>
      <c r="AL45" s="15">
        <f t="shared" si="13"/>
        <v>0</v>
      </c>
      <c r="AN45" s="15">
        <v>21</v>
      </c>
      <c r="AO45" s="15">
        <f t="shared" si="14"/>
        <v>0</v>
      </c>
      <c r="AP45" s="15">
        <f t="shared" si="15"/>
        <v>0</v>
      </c>
      <c r="AQ45" s="1" t="s">
        <v>829</v>
      </c>
      <c r="AV45" s="15">
        <f t="shared" si="16"/>
        <v>0</v>
      </c>
      <c r="AW45" s="15">
        <f t="shared" si="17"/>
        <v>0</v>
      </c>
      <c r="AX45" s="15">
        <f t="shared" si="18"/>
        <v>0</v>
      </c>
      <c r="AY45" s="1" t="s">
        <v>654</v>
      </c>
      <c r="AZ45" s="1" t="s">
        <v>299</v>
      </c>
      <c r="BA45" s="52" t="s">
        <v>56</v>
      </c>
      <c r="BC45" s="15">
        <f t="shared" si="19"/>
        <v>0</v>
      </c>
      <c r="BD45" s="15">
        <f t="shared" si="20"/>
        <v>0</v>
      </c>
      <c r="BE45" s="15">
        <v>0</v>
      </c>
      <c r="BF45" s="15">
        <f>45</f>
        <v>45</v>
      </c>
      <c r="BH45" s="15">
        <f t="shared" si="21"/>
        <v>0</v>
      </c>
      <c r="BI45" s="15">
        <f t="shared" si="22"/>
        <v>0</v>
      </c>
      <c r="BJ45" s="15">
        <f t="shared" si="23"/>
        <v>0</v>
      </c>
      <c r="BK45" s="15"/>
      <c r="BL45" s="15"/>
      <c r="BW45" s="15">
        <v>21</v>
      </c>
    </row>
    <row r="46" spans="1:12" ht="15" customHeight="1">
      <c r="A46" s="53"/>
      <c r="C46" s="66" t="s">
        <v>829</v>
      </c>
      <c r="D46" s="18" t="s">
        <v>624</v>
      </c>
      <c r="F46" s="13">
        <v>1</v>
      </c>
      <c r="G46" s="219"/>
      <c r="L46" s="32"/>
    </row>
    <row r="47" spans="1:75" ht="13.5" customHeight="1">
      <c r="A47" s="7" t="s">
        <v>195</v>
      </c>
      <c r="B47" s="11" t="s">
        <v>550</v>
      </c>
      <c r="C47" s="135" t="s">
        <v>173</v>
      </c>
      <c r="D47" s="130"/>
      <c r="E47" s="11" t="s">
        <v>649</v>
      </c>
      <c r="F47" s="15">
        <f>'Stavební rozpočet'!F417</f>
        <v>1</v>
      </c>
      <c r="G47" s="218">
        <f>'Stavební rozpočet'!G417</f>
        <v>0</v>
      </c>
      <c r="H47" s="15">
        <f>F47*AO47</f>
        <v>0</v>
      </c>
      <c r="I47" s="15">
        <f>F47*AP47</f>
        <v>0</v>
      </c>
      <c r="J47" s="15">
        <f>F47*G47</f>
        <v>0</v>
      </c>
      <c r="K47" s="1" t="s">
        <v>577</v>
      </c>
      <c r="L47" s="32"/>
      <c r="Z47" s="15">
        <f>IF(AQ47="5",BJ47,0)</f>
        <v>0</v>
      </c>
      <c r="AB47" s="15">
        <f>IF(AQ47="1",BH47,0)</f>
        <v>0</v>
      </c>
      <c r="AC47" s="15">
        <f>IF(AQ47="1",BI47,0)</f>
        <v>0</v>
      </c>
      <c r="AD47" s="15">
        <f>IF(AQ47="7",BH47,0)</f>
        <v>0</v>
      </c>
      <c r="AE47" s="15">
        <f>IF(AQ47="7",BI47,0)</f>
        <v>0</v>
      </c>
      <c r="AF47" s="15">
        <f>IF(AQ47="2",BH47,0)</f>
        <v>0</v>
      </c>
      <c r="AG47" s="15">
        <f>IF(AQ47="2",BI47,0)</f>
        <v>0</v>
      </c>
      <c r="AH47" s="15">
        <f>IF(AQ47="0",BJ47,0)</f>
        <v>0</v>
      </c>
      <c r="AI47" s="52" t="s">
        <v>901</v>
      </c>
      <c r="AJ47" s="15">
        <f>IF(AN47=0,J47,0)</f>
        <v>0</v>
      </c>
      <c r="AK47" s="15">
        <f>IF(AN47=12,J47,0)</f>
        <v>0</v>
      </c>
      <c r="AL47" s="15">
        <f>IF(AN47=21,J47,0)</f>
        <v>0</v>
      </c>
      <c r="AN47" s="15">
        <v>21</v>
      </c>
      <c r="AO47" s="15">
        <f>G47*0</f>
        <v>0</v>
      </c>
      <c r="AP47" s="15">
        <f>G47*(1-0)</f>
        <v>0</v>
      </c>
      <c r="AQ47" s="1" t="s">
        <v>829</v>
      </c>
      <c r="AV47" s="15">
        <f>AW47+AX47</f>
        <v>0</v>
      </c>
      <c r="AW47" s="15">
        <f>F47*AO47</f>
        <v>0</v>
      </c>
      <c r="AX47" s="15">
        <f>F47*AP47</f>
        <v>0</v>
      </c>
      <c r="AY47" s="1" t="s">
        <v>654</v>
      </c>
      <c r="AZ47" s="1" t="s">
        <v>299</v>
      </c>
      <c r="BA47" s="52" t="s">
        <v>56</v>
      </c>
      <c r="BC47" s="15">
        <f>AW47+AX47</f>
        <v>0</v>
      </c>
      <c r="BD47" s="15">
        <f>G47/(100-BE47)*100</f>
        <v>0</v>
      </c>
      <c r="BE47" s="15">
        <v>0</v>
      </c>
      <c r="BF47" s="15">
        <f>47</f>
        <v>47</v>
      </c>
      <c r="BH47" s="15">
        <f>F47*AO47</f>
        <v>0</v>
      </c>
      <c r="BI47" s="15">
        <f>F47*AP47</f>
        <v>0</v>
      </c>
      <c r="BJ47" s="15">
        <f>F47*G47</f>
        <v>0</v>
      </c>
      <c r="BK47" s="15"/>
      <c r="BL47" s="15"/>
      <c r="BW47" s="15">
        <v>21</v>
      </c>
    </row>
    <row r="48" spans="1:12" ht="15" customHeight="1">
      <c r="A48" s="53"/>
      <c r="C48" s="66" t="s">
        <v>829</v>
      </c>
      <c r="D48" s="18" t="s">
        <v>675</v>
      </c>
      <c r="F48" s="13">
        <v>1</v>
      </c>
      <c r="G48" s="219"/>
      <c r="L48" s="32"/>
    </row>
    <row r="49" spans="1:75" ht="13.5" customHeight="1">
      <c r="A49" s="7" t="s">
        <v>920</v>
      </c>
      <c r="B49" s="11" t="s">
        <v>287</v>
      </c>
      <c r="C49" s="135" t="s">
        <v>603</v>
      </c>
      <c r="D49" s="130"/>
      <c r="E49" s="11" t="s">
        <v>649</v>
      </c>
      <c r="F49" s="15">
        <f>'Stavební rozpočet'!F419</f>
        <v>1</v>
      </c>
      <c r="G49" s="218">
        <f>'Stavební rozpočet'!G419</f>
        <v>0</v>
      </c>
      <c r="H49" s="15">
        <f>F49*AO49</f>
        <v>0</v>
      </c>
      <c r="I49" s="15">
        <f>F49*AP49</f>
        <v>0</v>
      </c>
      <c r="J49" s="15">
        <f>F49*G49</f>
        <v>0</v>
      </c>
      <c r="K49" s="1" t="s">
        <v>577</v>
      </c>
      <c r="L49" s="32"/>
      <c r="Z49" s="15">
        <f>IF(AQ49="5",BJ49,0)</f>
        <v>0</v>
      </c>
      <c r="AB49" s="15">
        <f>IF(AQ49="1",BH49,0)</f>
        <v>0</v>
      </c>
      <c r="AC49" s="15">
        <f>IF(AQ49="1",BI49,0)</f>
        <v>0</v>
      </c>
      <c r="AD49" s="15">
        <f>IF(AQ49="7",BH49,0)</f>
        <v>0</v>
      </c>
      <c r="AE49" s="15">
        <f>IF(AQ49="7",BI49,0)</f>
        <v>0</v>
      </c>
      <c r="AF49" s="15">
        <f>IF(AQ49="2",BH49,0)</f>
        <v>0</v>
      </c>
      <c r="AG49" s="15">
        <f>IF(AQ49="2",BI49,0)</f>
        <v>0</v>
      </c>
      <c r="AH49" s="15">
        <f>IF(AQ49="0",BJ49,0)</f>
        <v>0</v>
      </c>
      <c r="AI49" s="52" t="s">
        <v>901</v>
      </c>
      <c r="AJ49" s="15">
        <f>IF(AN49=0,J49,0)</f>
        <v>0</v>
      </c>
      <c r="AK49" s="15">
        <f>IF(AN49=12,J49,0)</f>
        <v>0</v>
      </c>
      <c r="AL49" s="15">
        <f>IF(AN49=21,J49,0)</f>
        <v>0</v>
      </c>
      <c r="AN49" s="15">
        <v>21</v>
      </c>
      <c r="AO49" s="15">
        <f>G49*0</f>
        <v>0</v>
      </c>
      <c r="AP49" s="15">
        <f>G49*(1-0)</f>
        <v>0</v>
      </c>
      <c r="AQ49" s="1" t="s">
        <v>829</v>
      </c>
      <c r="AV49" s="15">
        <f>AW49+AX49</f>
        <v>0</v>
      </c>
      <c r="AW49" s="15">
        <f>F49*AO49</f>
        <v>0</v>
      </c>
      <c r="AX49" s="15">
        <f>F49*AP49</f>
        <v>0</v>
      </c>
      <c r="AY49" s="1" t="s">
        <v>654</v>
      </c>
      <c r="AZ49" s="1" t="s">
        <v>299</v>
      </c>
      <c r="BA49" s="52" t="s">
        <v>56</v>
      </c>
      <c r="BC49" s="15">
        <f>AW49+AX49</f>
        <v>0</v>
      </c>
      <c r="BD49" s="15">
        <f>G49/(100-BE49)*100</f>
        <v>0</v>
      </c>
      <c r="BE49" s="15">
        <v>0</v>
      </c>
      <c r="BF49" s="15">
        <f>49</f>
        <v>49</v>
      </c>
      <c r="BH49" s="15">
        <f>F49*AO49</f>
        <v>0</v>
      </c>
      <c r="BI49" s="15">
        <f>F49*AP49</f>
        <v>0</v>
      </c>
      <c r="BJ49" s="15">
        <f>F49*G49</f>
        <v>0</v>
      </c>
      <c r="BK49" s="15"/>
      <c r="BL49" s="15"/>
      <c r="BW49" s="15">
        <v>21</v>
      </c>
    </row>
    <row r="50" spans="1:12" ht="15" customHeight="1">
      <c r="A50" s="53"/>
      <c r="C50" s="66" t="s">
        <v>829</v>
      </c>
      <c r="D50" s="18" t="s">
        <v>624</v>
      </c>
      <c r="F50" s="13">
        <v>1</v>
      </c>
      <c r="G50" s="219"/>
      <c r="L50" s="32"/>
    </row>
    <row r="51" spans="1:75" ht="13.5" customHeight="1">
      <c r="A51" s="7" t="s">
        <v>740</v>
      </c>
      <c r="B51" s="11" t="s">
        <v>625</v>
      </c>
      <c r="C51" s="135" t="s">
        <v>639</v>
      </c>
      <c r="D51" s="130"/>
      <c r="E51" s="11" t="s">
        <v>649</v>
      </c>
      <c r="F51" s="15">
        <f>'Stavební rozpočet'!F421</f>
        <v>1</v>
      </c>
      <c r="G51" s="218">
        <f>'Stavební rozpočet'!G421</f>
        <v>0</v>
      </c>
      <c r="H51" s="15">
        <f>F51*AO51</f>
        <v>0</v>
      </c>
      <c r="I51" s="15">
        <f>F51*AP51</f>
        <v>0</v>
      </c>
      <c r="J51" s="15">
        <f>F51*G51</f>
        <v>0</v>
      </c>
      <c r="K51" s="1" t="s">
        <v>577</v>
      </c>
      <c r="L51" s="32"/>
      <c r="Z51" s="15">
        <f>IF(AQ51="5",BJ51,0)</f>
        <v>0</v>
      </c>
      <c r="AB51" s="15">
        <f>IF(AQ51="1",BH51,0)</f>
        <v>0</v>
      </c>
      <c r="AC51" s="15">
        <f>IF(AQ51="1",BI51,0)</f>
        <v>0</v>
      </c>
      <c r="AD51" s="15">
        <f>IF(AQ51="7",BH51,0)</f>
        <v>0</v>
      </c>
      <c r="AE51" s="15">
        <f>IF(AQ51="7",BI51,0)</f>
        <v>0</v>
      </c>
      <c r="AF51" s="15">
        <f>IF(AQ51="2",BH51,0)</f>
        <v>0</v>
      </c>
      <c r="AG51" s="15">
        <f>IF(AQ51="2",BI51,0)</f>
        <v>0</v>
      </c>
      <c r="AH51" s="15">
        <f>IF(AQ51="0",BJ51,0)</f>
        <v>0</v>
      </c>
      <c r="AI51" s="52" t="s">
        <v>901</v>
      </c>
      <c r="AJ51" s="15">
        <f>IF(AN51=0,J51,0)</f>
        <v>0</v>
      </c>
      <c r="AK51" s="15">
        <f>IF(AN51=12,J51,0)</f>
        <v>0</v>
      </c>
      <c r="AL51" s="15">
        <f>IF(AN51=21,J51,0)</f>
        <v>0</v>
      </c>
      <c r="AN51" s="15">
        <v>21</v>
      </c>
      <c r="AO51" s="15">
        <f>G51*0</f>
        <v>0</v>
      </c>
      <c r="AP51" s="15">
        <f>G51*(1-0)</f>
        <v>0</v>
      </c>
      <c r="AQ51" s="1" t="s">
        <v>829</v>
      </c>
      <c r="AV51" s="15">
        <f>AW51+AX51</f>
        <v>0</v>
      </c>
      <c r="AW51" s="15">
        <f>F51*AO51</f>
        <v>0</v>
      </c>
      <c r="AX51" s="15">
        <f>F51*AP51</f>
        <v>0</v>
      </c>
      <c r="AY51" s="1" t="s">
        <v>654</v>
      </c>
      <c r="AZ51" s="1" t="s">
        <v>299</v>
      </c>
      <c r="BA51" s="52" t="s">
        <v>56</v>
      </c>
      <c r="BC51" s="15">
        <f>AW51+AX51</f>
        <v>0</v>
      </c>
      <c r="BD51" s="15">
        <f>G51/(100-BE51)*100</f>
        <v>0</v>
      </c>
      <c r="BE51" s="15">
        <v>0</v>
      </c>
      <c r="BF51" s="15">
        <f>51</f>
        <v>51</v>
      </c>
      <c r="BH51" s="15">
        <f>F51*AO51</f>
        <v>0</v>
      </c>
      <c r="BI51" s="15">
        <f>F51*AP51</f>
        <v>0</v>
      </c>
      <c r="BJ51" s="15">
        <f>F51*G51</f>
        <v>0</v>
      </c>
      <c r="BK51" s="15"/>
      <c r="BL51" s="15"/>
      <c r="BW51" s="15">
        <v>21</v>
      </c>
    </row>
    <row r="52" spans="1:12" ht="15" customHeight="1">
      <c r="A52" s="75"/>
      <c r="B52" s="58"/>
      <c r="C52" s="45" t="s">
        <v>829</v>
      </c>
      <c r="D52" s="33" t="s">
        <v>902</v>
      </c>
      <c r="E52" s="58"/>
      <c r="F52" s="35">
        <v>1</v>
      </c>
      <c r="G52" s="220"/>
      <c r="H52" s="58"/>
      <c r="I52" s="58"/>
      <c r="J52" s="58"/>
      <c r="K52" s="58"/>
      <c r="L52" s="28"/>
    </row>
    <row r="53" spans="8:10" ht="15" customHeight="1">
      <c r="H53" s="138" t="s">
        <v>668</v>
      </c>
      <c r="I53" s="138"/>
      <c r="J53" s="30">
        <f>J13</f>
        <v>0</v>
      </c>
    </row>
    <row r="54" ht="15" customHeight="1">
      <c r="A54" s="60" t="s">
        <v>83</v>
      </c>
    </row>
    <row r="55" spans="1:12" ht="40.5" customHeight="1">
      <c r="A55" s="135" t="s">
        <v>883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</sheetData>
  <sheetProtection password="C6FC" sheet="1"/>
  <mergeCells count="67">
    <mergeCell ref="C47:D47"/>
    <mergeCell ref="C49:D49"/>
    <mergeCell ref="C51:D51"/>
    <mergeCell ref="H53:I53"/>
    <mergeCell ref="A55:L55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1:D11"/>
    <mergeCell ref="H10:J10"/>
    <mergeCell ref="C12:D12"/>
    <mergeCell ref="C13:D13"/>
    <mergeCell ref="C14:D14"/>
    <mergeCell ref="C15:D15"/>
    <mergeCell ref="K2:L3"/>
    <mergeCell ref="K4:L5"/>
    <mergeCell ref="K6:L7"/>
    <mergeCell ref="K8:L9"/>
    <mergeCell ref="C10:D10"/>
    <mergeCell ref="J4:J5"/>
    <mergeCell ref="J6:J7"/>
    <mergeCell ref="J8:J9"/>
    <mergeCell ref="C2:F3"/>
    <mergeCell ref="C4:F5"/>
    <mergeCell ref="C6:F7"/>
    <mergeCell ref="C8:F9"/>
    <mergeCell ref="I2:I3"/>
    <mergeCell ref="I4:I5"/>
    <mergeCell ref="I6:I7"/>
    <mergeCell ref="I8:I9"/>
    <mergeCell ref="A1:L1"/>
    <mergeCell ref="A2:B3"/>
    <mergeCell ref="A4:B5"/>
    <mergeCell ref="A6:B7"/>
    <mergeCell ref="A8:B9"/>
    <mergeCell ref="G2:H3"/>
    <mergeCell ref="G4:H5"/>
    <mergeCell ref="G6:H7"/>
    <mergeCell ref="G8:H9"/>
    <mergeCell ref="J2:J3"/>
  </mergeCells>
  <printOptions/>
  <pageMargins left="0.394" right="0.394" top="0.591" bottom="0.591" header="0" footer="0"/>
  <pageSetup firstPageNumber="0" useFirstPageNumber="1" fitToHeight="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5"/>
  <sheetViews>
    <sheetView showOutlineSymbols="0" zoomScalePageLayoutView="0" workbookViewId="0" topLeftCell="A1">
      <pane ySplit="11" topLeftCell="A21" activePane="bottomLeft" state="frozen"/>
      <selection pane="topLeft" activeCell="A75" sqref="A75:K75"/>
      <selection pane="bottomLeft" activeCell="G33" sqref="G33"/>
    </sheetView>
  </sheetViews>
  <sheetFormatPr defaultColWidth="14.16015625" defaultRowHeight="15"/>
  <cols>
    <col min="1" max="1" width="4.66015625" style="81" customWidth="1"/>
    <col min="2" max="2" width="20.83203125" style="81" customWidth="1"/>
    <col min="3" max="3" width="50" style="81" customWidth="1"/>
    <col min="4" max="4" width="41.66015625" style="81" customWidth="1"/>
    <col min="5" max="5" width="7.83203125" style="81" customWidth="1"/>
    <col min="6" max="6" width="15" style="81" customWidth="1"/>
    <col min="7" max="7" width="14" style="81" customWidth="1"/>
    <col min="8" max="9" width="0" style="81" hidden="1" customWidth="1"/>
    <col min="10" max="10" width="18.33203125" style="81" customWidth="1"/>
    <col min="11" max="11" width="15.66015625" style="81" customWidth="1"/>
    <col min="12" max="24" width="14.16015625" style="81" customWidth="1"/>
    <col min="25" max="75" width="14.16015625" style="81" hidden="1" customWidth="1"/>
    <col min="76" max="16384" width="14.16015625" style="81" customWidth="1"/>
  </cols>
  <sheetData>
    <row r="1" spans="1:47" ht="23.25">
      <c r="A1" s="125" t="s">
        <v>838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AS1" s="82">
        <f>SUM(AJ1:AJ2)</f>
        <v>0</v>
      </c>
      <c r="AT1" s="82">
        <f>SUM(AK1:AK2)</f>
        <v>0</v>
      </c>
      <c r="AU1" s="82">
        <f>SUM(AL1:AL2)</f>
        <v>0</v>
      </c>
    </row>
    <row r="2" spans="1:11" ht="15" hidden="1">
      <c r="A2" s="127" t="s">
        <v>68</v>
      </c>
      <c r="B2" s="134"/>
      <c r="C2" s="136" t="str">
        <f>'Stavební rozpočet'!C2</f>
        <v>Kaple sv.Cyrila a Metoděje</v>
      </c>
      <c r="D2" s="136"/>
      <c r="E2" s="134" t="s">
        <v>6</v>
      </c>
      <c r="F2" s="134"/>
      <c r="G2" s="134" t="str">
        <f>'Stavební rozpočet'!G2</f>
        <v> </v>
      </c>
      <c r="H2" s="134" t="s">
        <v>707</v>
      </c>
      <c r="I2" s="134" t="str">
        <f>'Stavební rozpočet'!I2</f>
        <v>Statutární město Opava</v>
      </c>
      <c r="J2" s="134"/>
      <c r="K2" s="191"/>
    </row>
    <row r="3" spans="1:11" ht="15" hidden="1">
      <c r="A3" s="131"/>
      <c r="B3" s="135"/>
      <c r="C3" s="194"/>
      <c r="D3" s="194"/>
      <c r="E3" s="135"/>
      <c r="F3" s="135"/>
      <c r="G3" s="135"/>
      <c r="H3" s="135"/>
      <c r="I3" s="135"/>
      <c r="J3" s="135"/>
      <c r="K3" s="142"/>
    </row>
    <row r="4" spans="1:11" ht="15" hidden="1">
      <c r="A4" s="131" t="s">
        <v>466</v>
      </c>
      <c r="B4" s="135"/>
      <c r="C4" s="135" t="str">
        <f>'Stavební rozpočet'!C4</f>
        <v>Církevní stavba</v>
      </c>
      <c r="D4" s="135"/>
      <c r="E4" s="135" t="s">
        <v>745</v>
      </c>
      <c r="F4" s="135"/>
      <c r="G4" s="135" t="str">
        <f>'Stavební rozpočet'!G4</f>
        <v> </v>
      </c>
      <c r="H4" s="135" t="s">
        <v>575</v>
      </c>
      <c r="I4" s="135" t="str">
        <f>'Stavební rozpočet'!I4</f>
        <v>Radek Vašenda, DiS</v>
      </c>
      <c r="J4" s="135"/>
      <c r="K4" s="142"/>
    </row>
    <row r="5" spans="1:11" ht="15" hidden="1">
      <c r="A5" s="131"/>
      <c r="B5" s="135"/>
      <c r="C5" s="135"/>
      <c r="D5" s="135"/>
      <c r="E5" s="135"/>
      <c r="F5" s="135"/>
      <c r="G5" s="135"/>
      <c r="H5" s="135"/>
      <c r="I5" s="135"/>
      <c r="J5" s="135"/>
      <c r="K5" s="142"/>
    </row>
    <row r="6" spans="1:11" ht="15" hidden="1">
      <c r="A6" s="131" t="s">
        <v>85</v>
      </c>
      <c r="B6" s="135"/>
      <c r="C6" s="135" t="str">
        <f>'Stavební rozpočet'!C6</f>
        <v>Milostovice</v>
      </c>
      <c r="D6" s="135"/>
      <c r="E6" s="135" t="s">
        <v>300</v>
      </c>
      <c r="F6" s="135"/>
      <c r="G6" s="135" t="str">
        <f>'Stavební rozpočet'!G6</f>
        <v> </v>
      </c>
      <c r="H6" s="135" t="s">
        <v>730</v>
      </c>
      <c r="I6" s="135" t="str">
        <f>'Stavební rozpočet'!I6</f>
        <v>Dle výběru investora</v>
      </c>
      <c r="J6" s="135"/>
      <c r="K6" s="142"/>
    </row>
    <row r="7" spans="1:11" ht="15" hidden="1">
      <c r="A7" s="131"/>
      <c r="B7" s="135"/>
      <c r="C7" s="135"/>
      <c r="D7" s="135"/>
      <c r="E7" s="135"/>
      <c r="F7" s="135"/>
      <c r="G7" s="135"/>
      <c r="H7" s="135"/>
      <c r="I7" s="135"/>
      <c r="J7" s="135"/>
      <c r="K7" s="142"/>
    </row>
    <row r="8" spans="1:11" ht="15" hidden="1">
      <c r="A8" s="131" t="s">
        <v>434</v>
      </c>
      <c r="B8" s="135"/>
      <c r="C8" s="135" t="str">
        <f>'Stavební rozpočet'!C8</f>
        <v>8014712</v>
      </c>
      <c r="D8" s="135"/>
      <c r="E8" s="135" t="s">
        <v>483</v>
      </c>
      <c r="F8" s="135"/>
      <c r="G8" s="135" t="str">
        <f>'Stavební rozpočet'!G8</f>
        <v>01.12.2023</v>
      </c>
      <c r="H8" s="135" t="s">
        <v>559</v>
      </c>
      <c r="I8" s="135" t="str">
        <f>'Stavební rozpočet'!I8</f>
        <v>Ing.Lucie Szöke</v>
      </c>
      <c r="J8" s="135"/>
      <c r="K8" s="142"/>
    </row>
    <row r="9" spans="1:11" ht="15" hidden="1">
      <c r="A9" s="131"/>
      <c r="B9" s="135"/>
      <c r="C9" s="135"/>
      <c r="D9" s="135"/>
      <c r="E9" s="135"/>
      <c r="F9" s="135"/>
      <c r="G9" s="135"/>
      <c r="H9" s="135"/>
      <c r="I9" s="135"/>
      <c r="J9" s="135"/>
      <c r="K9" s="142"/>
    </row>
    <row r="10" spans="1:75" ht="25.5">
      <c r="A10" s="83" t="s">
        <v>74</v>
      </c>
      <c r="B10" s="84" t="s">
        <v>306</v>
      </c>
      <c r="C10" s="192" t="s">
        <v>897</v>
      </c>
      <c r="D10" s="193"/>
      <c r="E10" s="84" t="s">
        <v>322</v>
      </c>
      <c r="F10" s="85" t="s">
        <v>506</v>
      </c>
      <c r="G10" s="86" t="s">
        <v>297</v>
      </c>
      <c r="H10" s="197" t="s">
        <v>536</v>
      </c>
      <c r="I10" s="198"/>
      <c r="J10" s="199"/>
      <c r="K10" s="85" t="s">
        <v>253</v>
      </c>
      <c r="BK10" s="87" t="s">
        <v>365</v>
      </c>
      <c r="BL10" s="88" t="s">
        <v>455</v>
      </c>
      <c r="BW10" s="88" t="s">
        <v>916</v>
      </c>
    </row>
    <row r="11" spans="1:62" ht="15">
      <c r="A11" s="89" t="s">
        <v>774</v>
      </c>
      <c r="B11" s="90" t="s">
        <v>774</v>
      </c>
      <c r="C11" s="195" t="s">
        <v>834</v>
      </c>
      <c r="D11" s="196"/>
      <c r="E11" s="90" t="s">
        <v>774</v>
      </c>
      <c r="F11" s="90" t="s">
        <v>774</v>
      </c>
      <c r="G11" s="91" t="s">
        <v>794</v>
      </c>
      <c r="H11" s="92" t="s">
        <v>54</v>
      </c>
      <c r="I11" s="93" t="s">
        <v>171</v>
      </c>
      <c r="J11" s="94" t="s">
        <v>96</v>
      </c>
      <c r="K11" s="93" t="s">
        <v>235</v>
      </c>
      <c r="Z11" s="87" t="s">
        <v>656</v>
      </c>
      <c r="AA11" s="87" t="s">
        <v>519</v>
      </c>
      <c r="AB11" s="87" t="s">
        <v>857</v>
      </c>
      <c r="AC11" s="87" t="s">
        <v>262</v>
      </c>
      <c r="AD11" s="87" t="s">
        <v>713</v>
      </c>
      <c r="AE11" s="87" t="s">
        <v>341</v>
      </c>
      <c r="AF11" s="87" t="s">
        <v>753</v>
      </c>
      <c r="AG11" s="87" t="s">
        <v>394</v>
      </c>
      <c r="AH11" s="87" t="s">
        <v>245</v>
      </c>
      <c r="BH11" s="87" t="s">
        <v>657</v>
      </c>
      <c r="BI11" s="87" t="s">
        <v>844</v>
      </c>
      <c r="BJ11" s="87" t="s">
        <v>908</v>
      </c>
    </row>
    <row r="12" spans="1:11" ht="15">
      <c r="A12" s="95" t="s">
        <v>577</v>
      </c>
      <c r="B12" s="56" t="s">
        <v>577</v>
      </c>
      <c r="C12" s="200" t="s">
        <v>650</v>
      </c>
      <c r="D12" s="200"/>
      <c r="E12" s="96" t="s">
        <v>774</v>
      </c>
      <c r="F12" s="96" t="s">
        <v>774</v>
      </c>
      <c r="G12" s="96" t="s">
        <v>774</v>
      </c>
      <c r="H12" s="97">
        <f>H14+H29+H34+H59+H63+H67</f>
        <v>0</v>
      </c>
      <c r="I12" s="97">
        <f>I14+I29+I34+I59+I63+I67</f>
        <v>300000</v>
      </c>
      <c r="J12" s="97">
        <f>J14+J29+J34+J59+J63+J67</f>
        <v>300000</v>
      </c>
      <c r="K12" s="98" t="s">
        <v>577</v>
      </c>
    </row>
    <row r="13" spans="1:35" ht="15">
      <c r="A13" s="99" t="s">
        <v>577</v>
      </c>
      <c r="B13" s="22" t="s">
        <v>577</v>
      </c>
      <c r="C13" s="201" t="s">
        <v>503</v>
      </c>
      <c r="D13" s="201"/>
      <c r="E13" s="100" t="s">
        <v>774</v>
      </c>
      <c r="F13" s="100" t="s">
        <v>774</v>
      </c>
      <c r="G13" s="100" t="s">
        <v>774</v>
      </c>
      <c r="H13" s="82">
        <f>H14+H29+H34+H59+H63+H67</f>
        <v>0</v>
      </c>
      <c r="I13" s="82">
        <f>I14+I29+I34+I59+I63+I67</f>
        <v>300000</v>
      </c>
      <c r="J13" s="82">
        <f>J14+J29+J34+J59+J63+J67</f>
        <v>300000</v>
      </c>
      <c r="K13" s="101" t="s">
        <v>577</v>
      </c>
      <c r="AI13" s="87" t="s">
        <v>650</v>
      </c>
    </row>
    <row r="14" spans="1:47" ht="15">
      <c r="A14" s="99" t="s">
        <v>577</v>
      </c>
      <c r="B14" s="22" t="s">
        <v>614</v>
      </c>
      <c r="C14" s="201" t="s">
        <v>421</v>
      </c>
      <c r="D14" s="201"/>
      <c r="E14" s="100" t="s">
        <v>774</v>
      </c>
      <c r="F14" s="100" t="s">
        <v>774</v>
      </c>
      <c r="G14" s="100" t="s">
        <v>774</v>
      </c>
      <c r="H14" s="82">
        <f>SUM(H15:H26)</f>
        <v>0</v>
      </c>
      <c r="I14" s="82">
        <f>SUM(I15:I26)</f>
        <v>0</v>
      </c>
      <c r="J14" s="82">
        <f>SUM(J15:J26)</f>
        <v>0</v>
      </c>
      <c r="K14" s="101" t="s">
        <v>577</v>
      </c>
      <c r="AI14" s="87" t="s">
        <v>650</v>
      </c>
      <c r="AS14" s="82">
        <f>SUM(AJ15:AJ26)</f>
        <v>0</v>
      </c>
      <c r="AT14" s="82">
        <f>SUM(AK15:AK26)</f>
        <v>0</v>
      </c>
      <c r="AU14" s="82">
        <f>SUM(AL15:AL26)</f>
        <v>0</v>
      </c>
    </row>
    <row r="15" spans="1:75" ht="25.5">
      <c r="A15" s="23" t="s">
        <v>829</v>
      </c>
      <c r="B15" s="19" t="s">
        <v>236</v>
      </c>
      <c r="C15" s="135" t="s">
        <v>822</v>
      </c>
      <c r="D15" s="135"/>
      <c r="E15" s="19" t="s">
        <v>567</v>
      </c>
      <c r="F15" s="102">
        <f>'Stavební rozpočet'!F426</f>
        <v>1</v>
      </c>
      <c r="G15" s="214">
        <f>'Stavební rozpočet'!G426</f>
        <v>0</v>
      </c>
      <c r="H15" s="102">
        <f>F15*AO15</f>
        <v>0</v>
      </c>
      <c r="I15" s="102">
        <f>F15*AP15</f>
        <v>0</v>
      </c>
      <c r="J15" s="102">
        <f>F15*G15</f>
        <v>0</v>
      </c>
      <c r="K15" s="103" t="s">
        <v>577</v>
      </c>
      <c r="Z15" s="102">
        <f>IF(AQ15="5",BJ15,0)</f>
        <v>0</v>
      </c>
      <c r="AB15" s="102">
        <f>IF(AQ15="1",BH15,0)</f>
        <v>0</v>
      </c>
      <c r="AC15" s="102">
        <f>IF(AQ15="1",BI15,0)</f>
        <v>0</v>
      </c>
      <c r="AD15" s="102">
        <f>IF(AQ15="7",BH15,0)</f>
        <v>0</v>
      </c>
      <c r="AE15" s="102">
        <f>IF(AQ15="7",BI15,0)</f>
        <v>0</v>
      </c>
      <c r="AF15" s="102">
        <f>IF(AQ15="2",BH15,0)</f>
        <v>0</v>
      </c>
      <c r="AG15" s="102">
        <f>IF(AQ15="2",BI15,0)</f>
        <v>0</v>
      </c>
      <c r="AH15" s="102">
        <f>IF(AQ15="0",BJ15,0)</f>
        <v>0</v>
      </c>
      <c r="AI15" s="87" t="s">
        <v>650</v>
      </c>
      <c r="AJ15" s="102">
        <f>IF(AN15=0,J15,0)</f>
        <v>0</v>
      </c>
      <c r="AK15" s="102">
        <f>IF(AN15=12,J15,0)</f>
        <v>0</v>
      </c>
      <c r="AL15" s="102">
        <f>IF(AN15=21,J15,0)</f>
        <v>0</v>
      </c>
      <c r="AN15" s="102">
        <v>21</v>
      </c>
      <c r="AO15" s="102">
        <f>G15*0</f>
        <v>0</v>
      </c>
      <c r="AP15" s="102">
        <f>G15*(1-0)</f>
        <v>0</v>
      </c>
      <c r="AQ15" s="104" t="s">
        <v>419</v>
      </c>
      <c r="AV15" s="102">
        <f>AW15+AX15</f>
        <v>0</v>
      </c>
      <c r="AW15" s="102">
        <f>F15*AO15</f>
        <v>0</v>
      </c>
      <c r="AX15" s="102">
        <f>F15*AP15</f>
        <v>0</v>
      </c>
      <c r="AY15" s="104" t="s">
        <v>431</v>
      </c>
      <c r="AZ15" s="104" t="s">
        <v>894</v>
      </c>
      <c r="BA15" s="87" t="s">
        <v>160</v>
      </c>
      <c r="BC15" s="102">
        <f>AW15+AX15</f>
        <v>0</v>
      </c>
      <c r="BD15" s="102">
        <f>G15/(100-BE15)*100</f>
        <v>0</v>
      </c>
      <c r="BE15" s="102">
        <v>0</v>
      </c>
      <c r="BF15" s="102">
        <f>15</f>
        <v>15</v>
      </c>
      <c r="BH15" s="102">
        <f>F15*AO15</f>
        <v>0</v>
      </c>
      <c r="BI15" s="102">
        <f>F15*AP15</f>
        <v>0</v>
      </c>
      <c r="BJ15" s="102">
        <f>F15*G15</f>
        <v>0</v>
      </c>
      <c r="BK15" s="102"/>
      <c r="BL15" s="102"/>
      <c r="BM15" s="102">
        <f>F15*G15</f>
        <v>0</v>
      </c>
      <c r="BW15" s="102">
        <v>21</v>
      </c>
    </row>
    <row r="16" spans="1:11" ht="15">
      <c r="A16" s="105"/>
      <c r="C16" s="106" t="s">
        <v>829</v>
      </c>
      <c r="D16" s="107" t="s">
        <v>577</v>
      </c>
      <c r="F16" s="108">
        <v>1</v>
      </c>
      <c r="G16" s="215"/>
      <c r="K16" s="109"/>
    </row>
    <row r="17" spans="1:75" ht="25.5">
      <c r="A17" s="23" t="s">
        <v>574</v>
      </c>
      <c r="B17" s="19" t="s">
        <v>12</v>
      </c>
      <c r="C17" s="135" t="s">
        <v>295</v>
      </c>
      <c r="D17" s="135"/>
      <c r="E17" s="19" t="s">
        <v>567</v>
      </c>
      <c r="F17" s="102">
        <f>'Stavební rozpočet'!F428</f>
        <v>1</v>
      </c>
      <c r="G17" s="214">
        <v>0</v>
      </c>
      <c r="H17" s="102">
        <f>F17*AO17</f>
        <v>0</v>
      </c>
      <c r="I17" s="102">
        <f>F17*AP17</f>
        <v>0</v>
      </c>
      <c r="J17" s="102">
        <f>F17*G17</f>
        <v>0</v>
      </c>
      <c r="K17" s="103" t="s">
        <v>577</v>
      </c>
      <c r="Z17" s="102">
        <f>IF(AQ17="5",BJ17,0)</f>
        <v>0</v>
      </c>
      <c r="AB17" s="102">
        <f>IF(AQ17="1",BH17,0)</f>
        <v>0</v>
      </c>
      <c r="AC17" s="102">
        <f>IF(AQ17="1",BI17,0)</f>
        <v>0</v>
      </c>
      <c r="AD17" s="102">
        <f>IF(AQ17="7",BH17,0)</f>
        <v>0</v>
      </c>
      <c r="AE17" s="102">
        <f>IF(AQ17="7",BI17,0)</f>
        <v>0</v>
      </c>
      <c r="AF17" s="102">
        <f>IF(AQ17="2",BH17,0)</f>
        <v>0</v>
      </c>
      <c r="AG17" s="102">
        <f>IF(AQ17="2",BI17,0)</f>
        <v>0</v>
      </c>
      <c r="AH17" s="102">
        <f>IF(AQ17="0",BJ17,0)</f>
        <v>0</v>
      </c>
      <c r="AI17" s="87" t="s">
        <v>650</v>
      </c>
      <c r="AJ17" s="102">
        <f>IF(AN17=0,J17,0)</f>
        <v>0</v>
      </c>
      <c r="AK17" s="102">
        <f>IF(AN17=12,J17,0)</f>
        <v>0</v>
      </c>
      <c r="AL17" s="102">
        <f>IF(AN17=21,J17,0)</f>
        <v>0</v>
      </c>
      <c r="AN17" s="102">
        <v>21</v>
      </c>
      <c r="AO17" s="102">
        <f>G17*0</f>
        <v>0</v>
      </c>
      <c r="AP17" s="102">
        <f>G17*(1-0)</f>
        <v>0</v>
      </c>
      <c r="AQ17" s="104" t="s">
        <v>419</v>
      </c>
      <c r="AV17" s="102">
        <f>AW17+AX17</f>
        <v>0</v>
      </c>
      <c r="AW17" s="102">
        <f>F17*AO17</f>
        <v>0</v>
      </c>
      <c r="AX17" s="102">
        <f>F17*AP17</f>
        <v>0</v>
      </c>
      <c r="AY17" s="104" t="s">
        <v>431</v>
      </c>
      <c r="AZ17" s="104" t="s">
        <v>894</v>
      </c>
      <c r="BA17" s="87" t="s">
        <v>160</v>
      </c>
      <c r="BC17" s="102">
        <f>AW17+AX17</f>
        <v>0</v>
      </c>
      <c r="BD17" s="102">
        <f>G17/(100-BE17)*100</f>
        <v>0</v>
      </c>
      <c r="BE17" s="102">
        <v>0</v>
      </c>
      <c r="BF17" s="102">
        <f>17</f>
        <v>17</v>
      </c>
      <c r="BH17" s="102">
        <f>F17*AO17</f>
        <v>0</v>
      </c>
      <c r="BI17" s="102">
        <f>F17*AP17</f>
        <v>0</v>
      </c>
      <c r="BJ17" s="102">
        <f>F17*G17</f>
        <v>0</v>
      </c>
      <c r="BK17" s="102"/>
      <c r="BL17" s="102"/>
      <c r="BM17" s="102">
        <f>F17*G17</f>
        <v>0</v>
      </c>
      <c r="BW17" s="102">
        <v>21</v>
      </c>
    </row>
    <row r="18" spans="1:11" ht="15">
      <c r="A18" s="105"/>
      <c r="C18" s="106" t="s">
        <v>829</v>
      </c>
      <c r="D18" s="107" t="s">
        <v>577</v>
      </c>
      <c r="F18" s="108">
        <v>1</v>
      </c>
      <c r="G18" s="215"/>
      <c r="K18" s="109"/>
    </row>
    <row r="19" spans="1:75" ht="25.5">
      <c r="A19" s="23" t="s">
        <v>724</v>
      </c>
      <c r="B19" s="19" t="s">
        <v>548</v>
      </c>
      <c r="C19" s="135" t="s">
        <v>828</v>
      </c>
      <c r="D19" s="135"/>
      <c r="E19" s="19" t="s">
        <v>567</v>
      </c>
      <c r="F19" s="102">
        <f>'Stavební rozpočet'!F430</f>
        <v>1</v>
      </c>
      <c r="G19" s="214">
        <f>'Stavební rozpočet'!G430</f>
        <v>0</v>
      </c>
      <c r="H19" s="102">
        <f>F19*AO19</f>
        <v>0</v>
      </c>
      <c r="I19" s="102">
        <f>F19*AP19</f>
        <v>0</v>
      </c>
      <c r="J19" s="102">
        <f>F19*G19</f>
        <v>0</v>
      </c>
      <c r="K19" s="103" t="s">
        <v>577</v>
      </c>
      <c r="Z19" s="102">
        <f>IF(AQ19="5",BJ19,0)</f>
        <v>0</v>
      </c>
      <c r="AB19" s="102">
        <f>IF(AQ19="1",BH19,0)</f>
        <v>0</v>
      </c>
      <c r="AC19" s="102">
        <f>IF(AQ19="1",BI19,0)</f>
        <v>0</v>
      </c>
      <c r="AD19" s="102">
        <f>IF(AQ19="7",BH19,0)</f>
        <v>0</v>
      </c>
      <c r="AE19" s="102">
        <f>IF(AQ19="7",BI19,0)</f>
        <v>0</v>
      </c>
      <c r="AF19" s="102">
        <f>IF(AQ19="2",BH19,0)</f>
        <v>0</v>
      </c>
      <c r="AG19" s="102">
        <f>IF(AQ19="2",BI19,0)</f>
        <v>0</v>
      </c>
      <c r="AH19" s="102">
        <f>IF(AQ19="0",BJ19,0)</f>
        <v>0</v>
      </c>
      <c r="AI19" s="87" t="s">
        <v>650</v>
      </c>
      <c r="AJ19" s="102">
        <f>IF(AN19=0,J19,0)</f>
        <v>0</v>
      </c>
      <c r="AK19" s="102">
        <f>IF(AN19=12,J19,0)</f>
        <v>0</v>
      </c>
      <c r="AL19" s="102">
        <f>IF(AN19=21,J19,0)</f>
        <v>0</v>
      </c>
      <c r="AN19" s="102">
        <v>21</v>
      </c>
      <c r="AO19" s="102">
        <f>G19*0</f>
        <v>0</v>
      </c>
      <c r="AP19" s="102">
        <f>G19*(1-0)</f>
        <v>0</v>
      </c>
      <c r="AQ19" s="104" t="s">
        <v>419</v>
      </c>
      <c r="AV19" s="102">
        <f>AW19+AX19</f>
        <v>0</v>
      </c>
      <c r="AW19" s="102">
        <f>F19*AO19</f>
        <v>0</v>
      </c>
      <c r="AX19" s="102">
        <f>F19*AP19</f>
        <v>0</v>
      </c>
      <c r="AY19" s="104" t="s">
        <v>431</v>
      </c>
      <c r="AZ19" s="104" t="s">
        <v>894</v>
      </c>
      <c r="BA19" s="87" t="s">
        <v>160</v>
      </c>
      <c r="BC19" s="102">
        <f>AW19+AX19</f>
        <v>0</v>
      </c>
      <c r="BD19" s="102">
        <f>G19/(100-BE19)*100</f>
        <v>0</v>
      </c>
      <c r="BE19" s="102">
        <v>0</v>
      </c>
      <c r="BF19" s="102">
        <f>19</f>
        <v>19</v>
      </c>
      <c r="BH19" s="102">
        <f>F19*AO19</f>
        <v>0</v>
      </c>
      <c r="BI19" s="102">
        <f>F19*AP19</f>
        <v>0</v>
      </c>
      <c r="BJ19" s="102">
        <f>F19*G19</f>
        <v>0</v>
      </c>
      <c r="BK19" s="102"/>
      <c r="BL19" s="102"/>
      <c r="BM19" s="102">
        <f>F19*G19</f>
        <v>0</v>
      </c>
      <c r="BW19" s="102">
        <v>21</v>
      </c>
    </row>
    <row r="20" spans="1:11" ht="46.5" customHeight="1">
      <c r="A20" s="105"/>
      <c r="C20" s="202" t="s">
        <v>667</v>
      </c>
      <c r="D20" s="202"/>
      <c r="E20" s="202"/>
      <c r="F20" s="202"/>
      <c r="G20" s="202"/>
      <c r="H20" s="202"/>
      <c r="I20" s="202"/>
      <c r="J20" s="202"/>
      <c r="K20" s="203"/>
    </row>
    <row r="21" spans="1:11" ht="15">
      <c r="A21" s="105"/>
      <c r="C21" s="106" t="s">
        <v>829</v>
      </c>
      <c r="D21" s="107" t="s">
        <v>577</v>
      </c>
      <c r="F21" s="108">
        <v>1</v>
      </c>
      <c r="G21" s="215"/>
      <c r="K21" s="109"/>
    </row>
    <row r="22" spans="1:75" ht="25.5">
      <c r="A22" s="23" t="s">
        <v>108</v>
      </c>
      <c r="B22" s="19" t="s">
        <v>779</v>
      </c>
      <c r="C22" s="135" t="s">
        <v>554</v>
      </c>
      <c r="D22" s="135"/>
      <c r="E22" s="19" t="s">
        <v>567</v>
      </c>
      <c r="F22" s="102">
        <f>'Stavební rozpočet'!F433</f>
        <v>1</v>
      </c>
      <c r="G22" s="214">
        <f>'Stavební rozpočet'!G433</f>
        <v>0</v>
      </c>
      <c r="H22" s="102">
        <f>F22*AO22</f>
        <v>0</v>
      </c>
      <c r="I22" s="102">
        <f>F22*AP22</f>
        <v>0</v>
      </c>
      <c r="J22" s="102">
        <f>F22*G22</f>
        <v>0</v>
      </c>
      <c r="K22" s="103" t="s">
        <v>577</v>
      </c>
      <c r="Z22" s="102">
        <f>IF(AQ22="5",BJ22,0)</f>
        <v>0</v>
      </c>
      <c r="AB22" s="102">
        <f>IF(AQ22="1",BH22,0)</f>
        <v>0</v>
      </c>
      <c r="AC22" s="102">
        <f>IF(AQ22="1",BI22,0)</f>
        <v>0</v>
      </c>
      <c r="AD22" s="102">
        <f>IF(AQ22="7",BH22,0)</f>
        <v>0</v>
      </c>
      <c r="AE22" s="102">
        <f>IF(AQ22="7",BI22,0)</f>
        <v>0</v>
      </c>
      <c r="AF22" s="102">
        <f>IF(AQ22="2",BH22,0)</f>
        <v>0</v>
      </c>
      <c r="AG22" s="102">
        <f>IF(AQ22="2",BI22,0)</f>
        <v>0</v>
      </c>
      <c r="AH22" s="102">
        <f>IF(AQ22="0",BJ22,0)</f>
        <v>0</v>
      </c>
      <c r="AI22" s="87" t="s">
        <v>650</v>
      </c>
      <c r="AJ22" s="102">
        <f>IF(AN22=0,J22,0)</f>
        <v>0</v>
      </c>
      <c r="AK22" s="102">
        <f>IF(AN22=12,J22,0)</f>
        <v>0</v>
      </c>
      <c r="AL22" s="102">
        <f>IF(AN22=21,J22,0)</f>
        <v>0</v>
      </c>
      <c r="AN22" s="102">
        <v>21</v>
      </c>
      <c r="AO22" s="102">
        <f>G22*0</f>
        <v>0</v>
      </c>
      <c r="AP22" s="102">
        <f>G22*(1-0)</f>
        <v>0</v>
      </c>
      <c r="AQ22" s="104" t="s">
        <v>419</v>
      </c>
      <c r="AV22" s="102">
        <f>AW22+AX22</f>
        <v>0</v>
      </c>
      <c r="AW22" s="102">
        <f>F22*AO22</f>
        <v>0</v>
      </c>
      <c r="AX22" s="102">
        <f>F22*AP22</f>
        <v>0</v>
      </c>
      <c r="AY22" s="104" t="s">
        <v>431</v>
      </c>
      <c r="AZ22" s="104" t="s">
        <v>894</v>
      </c>
      <c r="BA22" s="87" t="s">
        <v>160</v>
      </c>
      <c r="BC22" s="102">
        <f>AW22+AX22</f>
        <v>0</v>
      </c>
      <c r="BD22" s="102">
        <f>G22/(100-BE22)*100</f>
        <v>0</v>
      </c>
      <c r="BE22" s="102">
        <v>0</v>
      </c>
      <c r="BF22" s="102">
        <f>22</f>
        <v>22</v>
      </c>
      <c r="BH22" s="102">
        <f>F22*AO22</f>
        <v>0</v>
      </c>
      <c r="BI22" s="102">
        <f>F22*AP22</f>
        <v>0</v>
      </c>
      <c r="BJ22" s="102">
        <f>F22*G22</f>
        <v>0</v>
      </c>
      <c r="BK22" s="102"/>
      <c r="BL22" s="102"/>
      <c r="BM22" s="102">
        <f>F22*G22</f>
        <v>0</v>
      </c>
      <c r="BW22" s="102">
        <v>21</v>
      </c>
    </row>
    <row r="23" spans="1:11" ht="15">
      <c r="A23" s="105"/>
      <c r="C23" s="106" t="s">
        <v>829</v>
      </c>
      <c r="D23" s="107" t="s">
        <v>577</v>
      </c>
      <c r="F23" s="108">
        <v>1</v>
      </c>
      <c r="G23" s="215"/>
      <c r="K23" s="109"/>
    </row>
    <row r="24" spans="1:75" ht="25.5">
      <c r="A24" s="23" t="s">
        <v>461</v>
      </c>
      <c r="B24" s="19" t="s">
        <v>570</v>
      </c>
      <c r="C24" s="135" t="s">
        <v>293</v>
      </c>
      <c r="D24" s="135"/>
      <c r="E24" s="19" t="s">
        <v>567</v>
      </c>
      <c r="F24" s="102">
        <f>'Stavební rozpočet'!F435</f>
        <v>1</v>
      </c>
      <c r="G24" s="214">
        <f>'Stavební rozpočet'!G435</f>
        <v>0</v>
      </c>
      <c r="H24" s="102">
        <f>F24*AO24</f>
        <v>0</v>
      </c>
      <c r="I24" s="102">
        <f>F24*AP24</f>
        <v>0</v>
      </c>
      <c r="J24" s="102">
        <f>F24*G24</f>
        <v>0</v>
      </c>
      <c r="K24" s="103" t="s">
        <v>577</v>
      </c>
      <c r="Z24" s="102">
        <f>IF(AQ24="5",BJ24,0)</f>
        <v>0</v>
      </c>
      <c r="AB24" s="102">
        <f>IF(AQ24="1",BH24,0)</f>
        <v>0</v>
      </c>
      <c r="AC24" s="102">
        <f>IF(AQ24="1",BI24,0)</f>
        <v>0</v>
      </c>
      <c r="AD24" s="102">
        <f>IF(AQ24="7",BH24,0)</f>
        <v>0</v>
      </c>
      <c r="AE24" s="102">
        <f>IF(AQ24="7",BI24,0)</f>
        <v>0</v>
      </c>
      <c r="AF24" s="102">
        <f>IF(AQ24="2",BH24,0)</f>
        <v>0</v>
      </c>
      <c r="AG24" s="102">
        <f>IF(AQ24="2",BI24,0)</f>
        <v>0</v>
      </c>
      <c r="AH24" s="102">
        <f>IF(AQ24="0",BJ24,0)</f>
        <v>0</v>
      </c>
      <c r="AI24" s="87" t="s">
        <v>650</v>
      </c>
      <c r="AJ24" s="102">
        <f>IF(AN24=0,J24,0)</f>
        <v>0</v>
      </c>
      <c r="AK24" s="102">
        <f>IF(AN24=12,J24,0)</f>
        <v>0</v>
      </c>
      <c r="AL24" s="102">
        <f>IF(AN24=21,J24,0)</f>
        <v>0</v>
      </c>
      <c r="AN24" s="102">
        <v>21</v>
      </c>
      <c r="AO24" s="102">
        <f>G24*0</f>
        <v>0</v>
      </c>
      <c r="AP24" s="102">
        <f>G24*(1-0)</f>
        <v>0</v>
      </c>
      <c r="AQ24" s="104" t="s">
        <v>419</v>
      </c>
      <c r="AV24" s="102">
        <f>AW24+AX24</f>
        <v>0</v>
      </c>
      <c r="AW24" s="102">
        <f>F24*AO24</f>
        <v>0</v>
      </c>
      <c r="AX24" s="102">
        <f>F24*AP24</f>
        <v>0</v>
      </c>
      <c r="AY24" s="104" t="s">
        <v>431</v>
      </c>
      <c r="AZ24" s="104" t="s">
        <v>894</v>
      </c>
      <c r="BA24" s="87" t="s">
        <v>160</v>
      </c>
      <c r="BC24" s="102">
        <f>AW24+AX24</f>
        <v>0</v>
      </c>
      <c r="BD24" s="102">
        <f>G24/(100-BE24)*100</f>
        <v>0</v>
      </c>
      <c r="BE24" s="102">
        <v>0</v>
      </c>
      <c r="BF24" s="102">
        <f>24</f>
        <v>24</v>
      </c>
      <c r="BH24" s="102">
        <f>F24*AO24</f>
        <v>0</v>
      </c>
      <c r="BI24" s="102">
        <f>F24*AP24</f>
        <v>0</v>
      </c>
      <c r="BJ24" s="102">
        <f>F24*G24</f>
        <v>0</v>
      </c>
      <c r="BK24" s="102"/>
      <c r="BL24" s="102"/>
      <c r="BM24" s="102">
        <f>F24*G24</f>
        <v>0</v>
      </c>
      <c r="BW24" s="102">
        <v>21</v>
      </c>
    </row>
    <row r="25" spans="1:11" ht="15">
      <c r="A25" s="105"/>
      <c r="C25" s="106" t="s">
        <v>829</v>
      </c>
      <c r="D25" s="107" t="s">
        <v>577</v>
      </c>
      <c r="F25" s="108">
        <v>1</v>
      </c>
      <c r="G25" s="215"/>
      <c r="K25" s="109"/>
    </row>
    <row r="26" spans="1:75" ht="25.5">
      <c r="A26" s="23" t="s">
        <v>154</v>
      </c>
      <c r="B26" s="19" t="s">
        <v>113</v>
      </c>
      <c r="C26" s="135" t="s">
        <v>242</v>
      </c>
      <c r="D26" s="135"/>
      <c r="E26" s="19" t="s">
        <v>567</v>
      </c>
      <c r="F26" s="102">
        <f>'Stavební rozpočet'!F437</f>
        <v>1</v>
      </c>
      <c r="G26" s="214">
        <f>'Stavební rozpočet'!G437</f>
        <v>0</v>
      </c>
      <c r="H26" s="102">
        <f>F26*AO26</f>
        <v>0</v>
      </c>
      <c r="I26" s="102">
        <f>F26*AP26</f>
        <v>0</v>
      </c>
      <c r="J26" s="102">
        <f>F26*G26</f>
        <v>0</v>
      </c>
      <c r="K26" s="103" t="s">
        <v>577</v>
      </c>
      <c r="Z26" s="102">
        <f>IF(AQ26="5",BJ26,0)</f>
        <v>0</v>
      </c>
      <c r="AB26" s="102">
        <f>IF(AQ26="1",BH26,0)</f>
        <v>0</v>
      </c>
      <c r="AC26" s="102">
        <f>IF(AQ26="1",BI26,0)</f>
        <v>0</v>
      </c>
      <c r="AD26" s="102">
        <f>IF(AQ26="7",BH26,0)</f>
        <v>0</v>
      </c>
      <c r="AE26" s="102">
        <f>IF(AQ26="7",BI26,0)</f>
        <v>0</v>
      </c>
      <c r="AF26" s="102">
        <f>IF(AQ26="2",BH26,0)</f>
        <v>0</v>
      </c>
      <c r="AG26" s="102">
        <f>IF(AQ26="2",BI26,0)</f>
        <v>0</v>
      </c>
      <c r="AH26" s="102">
        <f>IF(AQ26="0",BJ26,0)</f>
        <v>0</v>
      </c>
      <c r="AI26" s="87" t="s">
        <v>650</v>
      </c>
      <c r="AJ26" s="102">
        <f>IF(AN26=0,J26,0)</f>
        <v>0</v>
      </c>
      <c r="AK26" s="102">
        <f>IF(AN26=12,J26,0)</f>
        <v>0</v>
      </c>
      <c r="AL26" s="102">
        <f>IF(AN26=21,J26,0)</f>
        <v>0</v>
      </c>
      <c r="AN26" s="102">
        <v>21</v>
      </c>
      <c r="AO26" s="102">
        <f>G26*0</f>
        <v>0</v>
      </c>
      <c r="AP26" s="102">
        <f>G26*(1-0)</f>
        <v>0</v>
      </c>
      <c r="AQ26" s="104" t="s">
        <v>419</v>
      </c>
      <c r="AV26" s="102">
        <f>AW26+AX26</f>
        <v>0</v>
      </c>
      <c r="AW26" s="102">
        <f>F26*AO26</f>
        <v>0</v>
      </c>
      <c r="AX26" s="102">
        <f>F26*AP26</f>
        <v>0</v>
      </c>
      <c r="AY26" s="104" t="s">
        <v>431</v>
      </c>
      <c r="AZ26" s="104" t="s">
        <v>894</v>
      </c>
      <c r="BA26" s="87" t="s">
        <v>160</v>
      </c>
      <c r="BC26" s="102">
        <f>AW26+AX26</f>
        <v>0</v>
      </c>
      <c r="BD26" s="102">
        <f>G26/(100-BE26)*100</f>
        <v>0</v>
      </c>
      <c r="BE26" s="102">
        <v>0</v>
      </c>
      <c r="BF26" s="102">
        <f>26</f>
        <v>26</v>
      </c>
      <c r="BH26" s="102">
        <f>F26*AO26</f>
        <v>0</v>
      </c>
      <c r="BI26" s="102">
        <f>F26*AP26</f>
        <v>0</v>
      </c>
      <c r="BJ26" s="102">
        <f>F26*G26</f>
        <v>0</v>
      </c>
      <c r="BK26" s="102"/>
      <c r="BL26" s="102"/>
      <c r="BM26" s="102">
        <f>F26*G26</f>
        <v>0</v>
      </c>
      <c r="BW26" s="102">
        <v>21</v>
      </c>
    </row>
    <row r="27" spans="1:11" ht="15">
      <c r="A27" s="105"/>
      <c r="C27" s="202" t="s">
        <v>443</v>
      </c>
      <c r="D27" s="202"/>
      <c r="E27" s="202"/>
      <c r="F27" s="202"/>
      <c r="G27" s="202"/>
      <c r="H27" s="202"/>
      <c r="I27" s="202"/>
      <c r="J27" s="202"/>
      <c r="K27" s="203"/>
    </row>
    <row r="28" spans="1:11" ht="15">
      <c r="A28" s="105"/>
      <c r="C28" s="106" t="s">
        <v>829</v>
      </c>
      <c r="D28" s="107" t="s">
        <v>577</v>
      </c>
      <c r="F28" s="108">
        <v>1</v>
      </c>
      <c r="G28" s="215"/>
      <c r="K28" s="109"/>
    </row>
    <row r="29" spans="1:47" ht="15">
      <c r="A29" s="99" t="s">
        <v>577</v>
      </c>
      <c r="B29" s="22" t="s">
        <v>316</v>
      </c>
      <c r="C29" s="201" t="s">
        <v>721</v>
      </c>
      <c r="D29" s="201"/>
      <c r="E29" s="100" t="s">
        <v>774</v>
      </c>
      <c r="F29" s="100" t="s">
        <v>774</v>
      </c>
      <c r="G29" s="100" t="s">
        <v>774</v>
      </c>
      <c r="H29" s="82">
        <f>SUM(H30:H32)</f>
        <v>0</v>
      </c>
      <c r="I29" s="82">
        <f>SUM(I30:I32)</f>
        <v>0</v>
      </c>
      <c r="J29" s="82">
        <f>SUM(J30:J32)</f>
        <v>0</v>
      </c>
      <c r="K29" s="101" t="s">
        <v>577</v>
      </c>
      <c r="AI29" s="87" t="s">
        <v>650</v>
      </c>
      <c r="AS29" s="82">
        <f>SUM(AJ30:AJ32)</f>
        <v>0</v>
      </c>
      <c r="AT29" s="82">
        <f>SUM(AK30:AK32)</f>
        <v>0</v>
      </c>
      <c r="AU29" s="82">
        <f>SUM(AL30:AL32)</f>
        <v>0</v>
      </c>
    </row>
    <row r="30" spans="1:75" ht="25.5">
      <c r="A30" s="23" t="s">
        <v>831</v>
      </c>
      <c r="B30" s="19" t="s">
        <v>748</v>
      </c>
      <c r="C30" s="135" t="s">
        <v>351</v>
      </c>
      <c r="D30" s="135"/>
      <c r="E30" s="19" t="s">
        <v>567</v>
      </c>
      <c r="F30" s="102">
        <f>'Stavební rozpočet'!F441</f>
        <v>1</v>
      </c>
      <c r="G30" s="214">
        <f>'Stavební rozpočet'!G441</f>
        <v>0</v>
      </c>
      <c r="H30" s="102">
        <f>F30*AO30</f>
        <v>0</v>
      </c>
      <c r="I30" s="102">
        <f>F30*AP30</f>
        <v>0</v>
      </c>
      <c r="J30" s="102">
        <f>F30*G30</f>
        <v>0</v>
      </c>
      <c r="K30" s="103" t="s">
        <v>577</v>
      </c>
      <c r="Z30" s="102">
        <f>IF(AQ30="5",BJ30,0)</f>
        <v>0</v>
      </c>
      <c r="AB30" s="102">
        <f>IF(AQ30="1",BH30,0)</f>
        <v>0</v>
      </c>
      <c r="AC30" s="102">
        <f>IF(AQ30="1",BI30,0)</f>
        <v>0</v>
      </c>
      <c r="AD30" s="102">
        <f>IF(AQ30="7",BH30,0)</f>
        <v>0</v>
      </c>
      <c r="AE30" s="102">
        <f>IF(AQ30="7",BI30,0)</f>
        <v>0</v>
      </c>
      <c r="AF30" s="102">
        <f>IF(AQ30="2",BH30,0)</f>
        <v>0</v>
      </c>
      <c r="AG30" s="102">
        <f>IF(AQ30="2",BI30,0)</f>
        <v>0</v>
      </c>
      <c r="AH30" s="102">
        <f>IF(AQ30="0",BJ30,0)</f>
        <v>0</v>
      </c>
      <c r="AI30" s="87" t="s">
        <v>650</v>
      </c>
      <c r="AJ30" s="102">
        <f>IF(AN30=0,J30,0)</f>
        <v>0</v>
      </c>
      <c r="AK30" s="102">
        <f>IF(AN30=12,J30,0)</f>
        <v>0</v>
      </c>
      <c r="AL30" s="102">
        <f>IF(AN30=21,J30,0)</f>
        <v>0</v>
      </c>
      <c r="AN30" s="102">
        <v>21</v>
      </c>
      <c r="AO30" s="102">
        <f>G30*0</f>
        <v>0</v>
      </c>
      <c r="AP30" s="102">
        <f>G30*(1-0)</f>
        <v>0</v>
      </c>
      <c r="AQ30" s="104" t="s">
        <v>419</v>
      </c>
      <c r="AV30" s="102">
        <f>AW30+AX30</f>
        <v>0</v>
      </c>
      <c r="AW30" s="102">
        <f>F30*AO30</f>
        <v>0</v>
      </c>
      <c r="AX30" s="102">
        <f>F30*AP30</f>
        <v>0</v>
      </c>
      <c r="AY30" s="104" t="s">
        <v>149</v>
      </c>
      <c r="AZ30" s="104" t="s">
        <v>894</v>
      </c>
      <c r="BA30" s="87" t="s">
        <v>160</v>
      </c>
      <c r="BC30" s="102">
        <f>AW30+AX30</f>
        <v>0</v>
      </c>
      <c r="BD30" s="102">
        <f>G30/(100-BE30)*100</f>
        <v>0</v>
      </c>
      <c r="BE30" s="102">
        <v>0</v>
      </c>
      <c r="BF30" s="102">
        <f>30</f>
        <v>30</v>
      </c>
      <c r="BH30" s="102">
        <f>F30*AO30</f>
        <v>0</v>
      </c>
      <c r="BI30" s="102">
        <f>F30*AP30</f>
        <v>0</v>
      </c>
      <c r="BJ30" s="102">
        <f>F30*G30</f>
        <v>0</v>
      </c>
      <c r="BK30" s="102"/>
      <c r="BL30" s="102"/>
      <c r="BN30" s="102">
        <f>F30*G30</f>
        <v>0</v>
      </c>
      <c r="BW30" s="102">
        <v>21</v>
      </c>
    </row>
    <row r="31" spans="1:11" ht="15">
      <c r="A31" s="105"/>
      <c r="C31" s="106" t="s">
        <v>829</v>
      </c>
      <c r="D31" s="107" t="s">
        <v>577</v>
      </c>
      <c r="F31" s="108">
        <v>1</v>
      </c>
      <c r="G31" s="215"/>
      <c r="K31" s="109"/>
    </row>
    <row r="32" spans="1:75" ht="25.5">
      <c r="A32" s="23" t="s">
        <v>666</v>
      </c>
      <c r="B32" s="19" t="s">
        <v>401</v>
      </c>
      <c r="C32" s="135" t="s">
        <v>212</v>
      </c>
      <c r="D32" s="135"/>
      <c r="E32" s="19" t="s">
        <v>567</v>
      </c>
      <c r="F32" s="102">
        <f>'Stavební rozpočet'!F443</f>
        <v>1</v>
      </c>
      <c r="G32" s="214">
        <v>0</v>
      </c>
      <c r="H32" s="102">
        <f>F32*AO32</f>
        <v>0</v>
      </c>
      <c r="I32" s="102">
        <f>F32*AP32</f>
        <v>0</v>
      </c>
      <c r="J32" s="102">
        <f>F32*G32</f>
        <v>0</v>
      </c>
      <c r="K32" s="103" t="s">
        <v>577</v>
      </c>
      <c r="Z32" s="102">
        <f>IF(AQ32="5",BJ32,0)</f>
        <v>0</v>
      </c>
      <c r="AB32" s="102">
        <f>IF(AQ32="1",BH32,0)</f>
        <v>0</v>
      </c>
      <c r="AC32" s="102">
        <f>IF(AQ32="1",BI32,0)</f>
        <v>0</v>
      </c>
      <c r="AD32" s="102">
        <f>IF(AQ32="7",BH32,0)</f>
        <v>0</v>
      </c>
      <c r="AE32" s="102">
        <f>IF(AQ32="7",BI32,0)</f>
        <v>0</v>
      </c>
      <c r="AF32" s="102">
        <f>IF(AQ32="2",BH32,0)</f>
        <v>0</v>
      </c>
      <c r="AG32" s="102">
        <f>IF(AQ32="2",BI32,0)</f>
        <v>0</v>
      </c>
      <c r="AH32" s="102">
        <f>IF(AQ32="0",BJ32,0)</f>
        <v>0</v>
      </c>
      <c r="AI32" s="87" t="s">
        <v>650</v>
      </c>
      <c r="AJ32" s="102">
        <f>IF(AN32=0,J32,0)</f>
        <v>0</v>
      </c>
      <c r="AK32" s="102">
        <f>IF(AN32=12,J32,0)</f>
        <v>0</v>
      </c>
      <c r="AL32" s="102">
        <f>IF(AN32=21,J32,0)</f>
        <v>0</v>
      </c>
      <c r="AN32" s="102">
        <v>21</v>
      </c>
      <c r="AO32" s="102">
        <f>G32*0</f>
        <v>0</v>
      </c>
      <c r="AP32" s="102">
        <f>G32*(1-0)</f>
        <v>0</v>
      </c>
      <c r="AQ32" s="104" t="s">
        <v>419</v>
      </c>
      <c r="AV32" s="102">
        <f>AW32+AX32</f>
        <v>0</v>
      </c>
      <c r="AW32" s="102">
        <f>F32*AO32</f>
        <v>0</v>
      </c>
      <c r="AX32" s="102">
        <f>F32*AP32</f>
        <v>0</v>
      </c>
      <c r="AY32" s="104" t="s">
        <v>149</v>
      </c>
      <c r="AZ32" s="104" t="s">
        <v>894</v>
      </c>
      <c r="BA32" s="87" t="s">
        <v>160</v>
      </c>
      <c r="BC32" s="102">
        <f>AW32+AX32</f>
        <v>0</v>
      </c>
      <c r="BD32" s="102">
        <f>G32/(100-BE32)*100</f>
        <v>0</v>
      </c>
      <c r="BE32" s="102">
        <v>0</v>
      </c>
      <c r="BF32" s="102">
        <f>32</f>
        <v>32</v>
      </c>
      <c r="BH32" s="102">
        <f>F32*AO32</f>
        <v>0</v>
      </c>
      <c r="BI32" s="102">
        <f>F32*AP32</f>
        <v>0</v>
      </c>
      <c r="BJ32" s="102">
        <f>F32*G32</f>
        <v>0</v>
      </c>
      <c r="BK32" s="102"/>
      <c r="BL32" s="102"/>
      <c r="BN32" s="102">
        <f>F32*G32</f>
        <v>0</v>
      </c>
      <c r="BW32" s="102">
        <v>21</v>
      </c>
    </row>
    <row r="33" spans="1:11" ht="15">
      <c r="A33" s="105"/>
      <c r="C33" s="106" t="s">
        <v>829</v>
      </c>
      <c r="D33" s="107" t="s">
        <v>577</v>
      </c>
      <c r="F33" s="108">
        <v>1</v>
      </c>
      <c r="G33" s="215"/>
      <c r="K33" s="109"/>
    </row>
    <row r="34" spans="1:47" ht="15">
      <c r="A34" s="99" t="s">
        <v>577</v>
      </c>
      <c r="B34" s="22" t="s">
        <v>52</v>
      </c>
      <c r="C34" s="201" t="s">
        <v>98</v>
      </c>
      <c r="D34" s="201"/>
      <c r="E34" s="100" t="s">
        <v>774</v>
      </c>
      <c r="F34" s="100" t="s">
        <v>774</v>
      </c>
      <c r="G34" s="100" t="s">
        <v>774</v>
      </c>
      <c r="H34" s="82">
        <f>SUM(H35:H56)</f>
        <v>0</v>
      </c>
      <c r="I34" s="82">
        <f>SUM(I35:I56)</f>
        <v>0</v>
      </c>
      <c r="J34" s="82">
        <f>SUM(J35:J56)</f>
        <v>0</v>
      </c>
      <c r="K34" s="101" t="s">
        <v>577</v>
      </c>
      <c r="AI34" s="87" t="s">
        <v>650</v>
      </c>
      <c r="AS34" s="82">
        <f>SUM(AJ35:AJ56)</f>
        <v>0</v>
      </c>
      <c r="AT34" s="82">
        <f>SUM(AK35:AK56)</f>
        <v>0</v>
      </c>
      <c r="AU34" s="82">
        <f>SUM(AL35:AL56)</f>
        <v>0</v>
      </c>
    </row>
    <row r="35" spans="1:75" ht="25.5">
      <c r="A35" s="23" t="s">
        <v>348</v>
      </c>
      <c r="B35" s="19" t="s">
        <v>556</v>
      </c>
      <c r="C35" s="135" t="s">
        <v>98</v>
      </c>
      <c r="D35" s="135"/>
      <c r="E35" s="19" t="s">
        <v>567</v>
      </c>
      <c r="F35" s="102">
        <f>'Stavební rozpočet'!F446</f>
        <v>1</v>
      </c>
      <c r="G35" s="214">
        <f>'Stavební rozpočet'!G446</f>
        <v>0</v>
      </c>
      <c r="H35" s="102">
        <f>F35*AO35</f>
        <v>0</v>
      </c>
      <c r="I35" s="102">
        <f>F35*AP35</f>
        <v>0</v>
      </c>
      <c r="J35" s="102">
        <f>F35*G35</f>
        <v>0</v>
      </c>
      <c r="K35" s="103" t="s">
        <v>577</v>
      </c>
      <c r="Z35" s="102">
        <f>IF(AQ35="5",BJ35,0)</f>
        <v>0</v>
      </c>
      <c r="AB35" s="102">
        <f>IF(AQ35="1",BH35,0)</f>
        <v>0</v>
      </c>
      <c r="AC35" s="102">
        <f>IF(AQ35="1",BI35,0)</f>
        <v>0</v>
      </c>
      <c r="AD35" s="102">
        <f>IF(AQ35="7",BH35,0)</f>
        <v>0</v>
      </c>
      <c r="AE35" s="102">
        <f>IF(AQ35="7",BI35,0)</f>
        <v>0</v>
      </c>
      <c r="AF35" s="102">
        <f>IF(AQ35="2",BH35,0)</f>
        <v>0</v>
      </c>
      <c r="AG35" s="102">
        <f>IF(AQ35="2",BI35,0)</f>
        <v>0</v>
      </c>
      <c r="AH35" s="102">
        <f>IF(AQ35="0",BJ35,0)</f>
        <v>0</v>
      </c>
      <c r="AI35" s="87" t="s">
        <v>650</v>
      </c>
      <c r="AJ35" s="102">
        <f>IF(AN35=0,J35,0)</f>
        <v>0</v>
      </c>
      <c r="AK35" s="102">
        <f>IF(AN35=12,J35,0)</f>
        <v>0</v>
      </c>
      <c r="AL35" s="102">
        <f>IF(AN35=21,J35,0)</f>
        <v>0</v>
      </c>
      <c r="AN35" s="102">
        <v>21</v>
      </c>
      <c r="AO35" s="102">
        <f>G35*0</f>
        <v>0</v>
      </c>
      <c r="AP35" s="102">
        <f>G35*(1-0)</f>
        <v>0</v>
      </c>
      <c r="AQ35" s="104" t="s">
        <v>419</v>
      </c>
      <c r="AV35" s="102">
        <f>AW35+AX35</f>
        <v>0</v>
      </c>
      <c r="AW35" s="102">
        <f>F35*AO35</f>
        <v>0</v>
      </c>
      <c r="AX35" s="102">
        <f>F35*AP35</f>
        <v>0</v>
      </c>
      <c r="AY35" s="104" t="s">
        <v>211</v>
      </c>
      <c r="AZ35" s="104" t="s">
        <v>894</v>
      </c>
      <c r="BA35" s="87" t="s">
        <v>160</v>
      </c>
      <c r="BC35" s="102">
        <f>AW35+AX35</f>
        <v>0</v>
      </c>
      <c r="BD35" s="102">
        <f>G35/(100-BE35)*100</f>
        <v>0</v>
      </c>
      <c r="BE35" s="102">
        <v>0</v>
      </c>
      <c r="BF35" s="102">
        <f>35</f>
        <v>35</v>
      </c>
      <c r="BH35" s="102">
        <f>F35*AO35</f>
        <v>0</v>
      </c>
      <c r="BI35" s="102">
        <f>F35*AP35</f>
        <v>0</v>
      </c>
      <c r="BJ35" s="102">
        <f>F35*G35</f>
        <v>0</v>
      </c>
      <c r="BK35" s="102"/>
      <c r="BL35" s="102"/>
      <c r="BO35" s="102">
        <f>F35*G35</f>
        <v>0</v>
      </c>
      <c r="BW35" s="102">
        <v>21</v>
      </c>
    </row>
    <row r="36" spans="1:11" ht="38.25" customHeight="1">
      <c r="A36" s="105"/>
      <c r="C36" s="202" t="s">
        <v>588</v>
      </c>
      <c r="D36" s="202"/>
      <c r="E36" s="202"/>
      <c r="F36" s="202"/>
      <c r="G36" s="202"/>
      <c r="H36" s="202"/>
      <c r="I36" s="202"/>
      <c r="J36" s="202"/>
      <c r="K36" s="203"/>
    </row>
    <row r="37" spans="1:11" ht="25.5">
      <c r="A37" s="105"/>
      <c r="C37" s="106" t="s">
        <v>810</v>
      </c>
      <c r="D37" s="107" t="s">
        <v>577</v>
      </c>
      <c r="F37" s="108">
        <v>0</v>
      </c>
      <c r="G37" s="215"/>
      <c r="K37" s="109"/>
    </row>
    <row r="38" spans="1:11" ht="15">
      <c r="A38" s="105"/>
      <c r="C38" s="106" t="s">
        <v>829</v>
      </c>
      <c r="D38" s="107" t="s">
        <v>577</v>
      </c>
      <c r="F38" s="108">
        <v>1</v>
      </c>
      <c r="G38" s="215"/>
      <c r="K38" s="109"/>
    </row>
    <row r="39" spans="1:11" ht="15">
      <c r="A39" s="105"/>
      <c r="C39" s="106" t="s">
        <v>930</v>
      </c>
      <c r="D39" s="107" t="s">
        <v>577</v>
      </c>
      <c r="F39" s="108">
        <v>0</v>
      </c>
      <c r="G39" s="215"/>
      <c r="K39" s="109"/>
    </row>
    <row r="40" spans="1:11" ht="15">
      <c r="A40" s="105"/>
      <c r="C40" s="106" t="s">
        <v>642</v>
      </c>
      <c r="D40" s="107" t="s">
        <v>577</v>
      </c>
      <c r="F40" s="108">
        <v>0</v>
      </c>
      <c r="G40" s="215"/>
      <c r="K40" s="109"/>
    </row>
    <row r="41" spans="1:11" ht="25.5">
      <c r="A41" s="105"/>
      <c r="C41" s="106" t="s">
        <v>471</v>
      </c>
      <c r="D41" s="107" t="s">
        <v>577</v>
      </c>
      <c r="F41" s="108">
        <v>0</v>
      </c>
      <c r="G41" s="215"/>
      <c r="K41" s="109"/>
    </row>
    <row r="42" spans="1:11" ht="15">
      <c r="A42" s="105"/>
      <c r="C42" s="106" t="s">
        <v>783</v>
      </c>
      <c r="D42" s="107" t="s">
        <v>577</v>
      </c>
      <c r="F42" s="108">
        <v>0</v>
      </c>
      <c r="G42" s="215"/>
      <c r="K42" s="109"/>
    </row>
    <row r="43" spans="1:11" ht="15">
      <c r="A43" s="105"/>
      <c r="C43" s="106" t="s">
        <v>611</v>
      </c>
      <c r="D43" s="107" t="s">
        <v>577</v>
      </c>
      <c r="F43" s="108">
        <v>0</v>
      </c>
      <c r="G43" s="215"/>
      <c r="K43" s="109"/>
    </row>
    <row r="44" spans="1:11" ht="25.5">
      <c r="A44" s="105"/>
      <c r="C44" s="106" t="s">
        <v>747</v>
      </c>
      <c r="D44" s="107" t="s">
        <v>577</v>
      </c>
      <c r="F44" s="108">
        <v>0</v>
      </c>
      <c r="G44" s="215"/>
      <c r="K44" s="109"/>
    </row>
    <row r="45" spans="1:11" ht="25.5">
      <c r="A45" s="105"/>
      <c r="C45" s="106" t="s">
        <v>230</v>
      </c>
      <c r="D45" s="107" t="s">
        <v>577</v>
      </c>
      <c r="F45" s="108">
        <v>0</v>
      </c>
      <c r="G45" s="215"/>
      <c r="K45" s="109"/>
    </row>
    <row r="46" spans="1:11" ht="15">
      <c r="A46" s="105"/>
      <c r="C46" s="106" t="s">
        <v>425</v>
      </c>
      <c r="D46" s="107" t="s">
        <v>577</v>
      </c>
      <c r="F46" s="108">
        <v>0</v>
      </c>
      <c r="G46" s="215"/>
      <c r="K46" s="109"/>
    </row>
    <row r="47" spans="1:75" ht="25.5">
      <c r="A47" s="23" t="s">
        <v>493</v>
      </c>
      <c r="B47" s="19" t="s">
        <v>939</v>
      </c>
      <c r="C47" s="135" t="s">
        <v>551</v>
      </c>
      <c r="D47" s="135"/>
      <c r="E47" s="19" t="s">
        <v>567</v>
      </c>
      <c r="F47" s="102">
        <f>'Stavební rozpočet'!F458</f>
        <v>1</v>
      </c>
      <c r="G47" s="214">
        <f>'Stavební rozpočet'!G458</f>
        <v>0</v>
      </c>
      <c r="H47" s="102">
        <f>F47*AO47</f>
        <v>0</v>
      </c>
      <c r="I47" s="102">
        <f>F47*AP47</f>
        <v>0</v>
      </c>
      <c r="J47" s="102">
        <f>F47*G47</f>
        <v>0</v>
      </c>
      <c r="K47" s="103" t="s">
        <v>577</v>
      </c>
      <c r="Z47" s="102">
        <f>IF(AQ47="5",BJ47,0)</f>
        <v>0</v>
      </c>
      <c r="AB47" s="102">
        <f>IF(AQ47="1",BH47,0)</f>
        <v>0</v>
      </c>
      <c r="AC47" s="102">
        <f>IF(AQ47="1",BI47,0)</f>
        <v>0</v>
      </c>
      <c r="AD47" s="102">
        <f>IF(AQ47="7",BH47,0)</f>
        <v>0</v>
      </c>
      <c r="AE47" s="102">
        <f>IF(AQ47="7",BI47,0)</f>
        <v>0</v>
      </c>
      <c r="AF47" s="102">
        <f>IF(AQ47="2",BH47,0)</f>
        <v>0</v>
      </c>
      <c r="AG47" s="102">
        <f>IF(AQ47="2",BI47,0)</f>
        <v>0</v>
      </c>
      <c r="AH47" s="102">
        <f>IF(AQ47="0",BJ47,0)</f>
        <v>0</v>
      </c>
      <c r="AI47" s="87" t="s">
        <v>650</v>
      </c>
      <c r="AJ47" s="102">
        <f>IF(AN47=0,J47,0)</f>
        <v>0</v>
      </c>
      <c r="AK47" s="102">
        <f>IF(AN47=12,J47,0)</f>
        <v>0</v>
      </c>
      <c r="AL47" s="102">
        <f>IF(AN47=21,J47,0)</f>
        <v>0</v>
      </c>
      <c r="AN47" s="102">
        <v>21</v>
      </c>
      <c r="AO47" s="102">
        <f>G47*0</f>
        <v>0</v>
      </c>
      <c r="AP47" s="102">
        <f>G47*(1-0)</f>
        <v>0</v>
      </c>
      <c r="AQ47" s="104" t="s">
        <v>419</v>
      </c>
      <c r="AV47" s="102">
        <f>AW47+AX47</f>
        <v>0</v>
      </c>
      <c r="AW47" s="102">
        <f>F47*AO47</f>
        <v>0</v>
      </c>
      <c r="AX47" s="102">
        <f>F47*AP47</f>
        <v>0</v>
      </c>
      <c r="AY47" s="104" t="s">
        <v>211</v>
      </c>
      <c r="AZ47" s="104" t="s">
        <v>894</v>
      </c>
      <c r="BA47" s="87" t="s">
        <v>160</v>
      </c>
      <c r="BC47" s="102">
        <f>AW47+AX47</f>
        <v>0</v>
      </c>
      <c r="BD47" s="102">
        <f>G47/(100-BE47)*100</f>
        <v>0</v>
      </c>
      <c r="BE47" s="102">
        <v>0</v>
      </c>
      <c r="BF47" s="102">
        <f>47</f>
        <v>47</v>
      </c>
      <c r="BH47" s="102">
        <f>F47*AO47</f>
        <v>0</v>
      </c>
      <c r="BI47" s="102">
        <f>F47*AP47</f>
        <v>0</v>
      </c>
      <c r="BJ47" s="102">
        <f>F47*G47</f>
        <v>0</v>
      </c>
      <c r="BK47" s="102"/>
      <c r="BL47" s="102"/>
      <c r="BO47" s="102">
        <f>F47*G47</f>
        <v>0</v>
      </c>
      <c r="BW47" s="102">
        <v>21</v>
      </c>
    </row>
    <row r="48" spans="1:11" ht="40.5" customHeight="1">
      <c r="A48" s="105"/>
      <c r="C48" s="202" t="s">
        <v>389</v>
      </c>
      <c r="D48" s="202"/>
      <c r="E48" s="202"/>
      <c r="F48" s="202"/>
      <c r="G48" s="202"/>
      <c r="H48" s="202"/>
      <c r="I48" s="202"/>
      <c r="J48" s="202"/>
      <c r="K48" s="203"/>
    </row>
    <row r="49" spans="1:11" ht="15">
      <c r="A49" s="105"/>
      <c r="C49" s="106" t="s">
        <v>829</v>
      </c>
      <c r="D49" s="107" t="s">
        <v>577</v>
      </c>
      <c r="F49" s="108">
        <v>1</v>
      </c>
      <c r="G49" s="215"/>
      <c r="K49" s="109"/>
    </row>
    <row r="50" spans="1:75" ht="25.5">
      <c r="A50" s="23" t="s">
        <v>700</v>
      </c>
      <c r="B50" s="19" t="s">
        <v>895</v>
      </c>
      <c r="C50" s="135" t="s">
        <v>17</v>
      </c>
      <c r="D50" s="135"/>
      <c r="E50" s="19" t="s">
        <v>567</v>
      </c>
      <c r="F50" s="102">
        <f>'Stavební rozpočet'!F461</f>
        <v>1</v>
      </c>
      <c r="G50" s="214">
        <f>'Stavební rozpočet'!G461</f>
        <v>0</v>
      </c>
      <c r="H50" s="102">
        <f>F50*AO50</f>
        <v>0</v>
      </c>
      <c r="I50" s="102">
        <f>F50*AP50</f>
        <v>0</v>
      </c>
      <c r="J50" s="102">
        <f>F50*G50</f>
        <v>0</v>
      </c>
      <c r="K50" s="103" t="s">
        <v>577</v>
      </c>
      <c r="Z50" s="102">
        <f>IF(AQ50="5",BJ50,0)</f>
        <v>0</v>
      </c>
      <c r="AB50" s="102">
        <f>IF(AQ50="1",BH50,0)</f>
        <v>0</v>
      </c>
      <c r="AC50" s="102">
        <f>IF(AQ50="1",BI50,0)</f>
        <v>0</v>
      </c>
      <c r="AD50" s="102">
        <f>IF(AQ50="7",BH50,0)</f>
        <v>0</v>
      </c>
      <c r="AE50" s="102">
        <f>IF(AQ50="7",BI50,0)</f>
        <v>0</v>
      </c>
      <c r="AF50" s="102">
        <f>IF(AQ50="2",BH50,0)</f>
        <v>0</v>
      </c>
      <c r="AG50" s="102">
        <f>IF(AQ50="2",BI50,0)</f>
        <v>0</v>
      </c>
      <c r="AH50" s="102">
        <f>IF(AQ50="0",BJ50,0)</f>
        <v>0</v>
      </c>
      <c r="AI50" s="87" t="s">
        <v>650</v>
      </c>
      <c r="AJ50" s="102">
        <f>IF(AN50=0,J50,0)</f>
        <v>0</v>
      </c>
      <c r="AK50" s="102">
        <f>IF(AN50=12,J50,0)</f>
        <v>0</v>
      </c>
      <c r="AL50" s="102">
        <f>IF(AN50=21,J50,0)</f>
        <v>0</v>
      </c>
      <c r="AN50" s="102">
        <v>21</v>
      </c>
      <c r="AO50" s="102">
        <f>G50*0</f>
        <v>0</v>
      </c>
      <c r="AP50" s="102">
        <f>G50*(1-0)</f>
        <v>0</v>
      </c>
      <c r="AQ50" s="104" t="s">
        <v>419</v>
      </c>
      <c r="AV50" s="102">
        <f>AW50+AX50</f>
        <v>0</v>
      </c>
      <c r="AW50" s="102">
        <f>F50*AO50</f>
        <v>0</v>
      </c>
      <c r="AX50" s="102">
        <f>F50*AP50</f>
        <v>0</v>
      </c>
      <c r="AY50" s="104" t="s">
        <v>211</v>
      </c>
      <c r="AZ50" s="104" t="s">
        <v>894</v>
      </c>
      <c r="BA50" s="87" t="s">
        <v>160</v>
      </c>
      <c r="BC50" s="102">
        <f>AW50+AX50</f>
        <v>0</v>
      </c>
      <c r="BD50" s="102">
        <f>G50/(100-BE50)*100</f>
        <v>0</v>
      </c>
      <c r="BE50" s="102">
        <v>0</v>
      </c>
      <c r="BF50" s="102">
        <f>50</f>
        <v>50</v>
      </c>
      <c r="BH50" s="102">
        <f>F50*AO50</f>
        <v>0</v>
      </c>
      <c r="BI50" s="102">
        <f>F50*AP50</f>
        <v>0</v>
      </c>
      <c r="BJ50" s="102">
        <f>F50*G50</f>
        <v>0</v>
      </c>
      <c r="BK50" s="102"/>
      <c r="BL50" s="102"/>
      <c r="BO50" s="102">
        <f>F50*G50</f>
        <v>0</v>
      </c>
      <c r="BW50" s="102">
        <v>21</v>
      </c>
    </row>
    <row r="51" spans="1:11" ht="15">
      <c r="A51" s="105"/>
      <c r="C51" s="202" t="s">
        <v>763</v>
      </c>
      <c r="D51" s="202"/>
      <c r="E51" s="202"/>
      <c r="F51" s="202"/>
      <c r="G51" s="202"/>
      <c r="H51" s="202"/>
      <c r="I51" s="202"/>
      <c r="J51" s="202"/>
      <c r="K51" s="203"/>
    </row>
    <row r="52" spans="1:11" ht="15">
      <c r="A52" s="105"/>
      <c r="C52" s="106" t="s">
        <v>829</v>
      </c>
      <c r="D52" s="107" t="s">
        <v>577</v>
      </c>
      <c r="F52" s="108">
        <v>1</v>
      </c>
      <c r="G52" s="215"/>
      <c r="K52" s="109"/>
    </row>
    <row r="53" spans="1:75" ht="25.5">
      <c r="A53" s="23" t="s">
        <v>613</v>
      </c>
      <c r="B53" s="19" t="s">
        <v>386</v>
      </c>
      <c r="C53" s="135" t="s">
        <v>33</v>
      </c>
      <c r="D53" s="135"/>
      <c r="E53" s="19" t="s">
        <v>567</v>
      </c>
      <c r="F53" s="102">
        <f>'Stavební rozpočet'!F464</f>
        <v>1</v>
      </c>
      <c r="G53" s="214">
        <f>'Stavební rozpočet'!G464</f>
        <v>0</v>
      </c>
      <c r="H53" s="102">
        <f>F53*AO53</f>
        <v>0</v>
      </c>
      <c r="I53" s="102">
        <f>F53*AP53</f>
        <v>0</v>
      </c>
      <c r="J53" s="102">
        <f>F53*G53</f>
        <v>0</v>
      </c>
      <c r="K53" s="103" t="s">
        <v>577</v>
      </c>
      <c r="Z53" s="102">
        <f>IF(AQ53="5",BJ53,0)</f>
        <v>0</v>
      </c>
      <c r="AB53" s="102">
        <f>IF(AQ53="1",BH53,0)</f>
        <v>0</v>
      </c>
      <c r="AC53" s="102">
        <f>IF(AQ53="1",BI53,0)</f>
        <v>0</v>
      </c>
      <c r="AD53" s="102">
        <f>IF(AQ53="7",BH53,0)</f>
        <v>0</v>
      </c>
      <c r="AE53" s="102">
        <f>IF(AQ53="7",BI53,0)</f>
        <v>0</v>
      </c>
      <c r="AF53" s="102">
        <f>IF(AQ53="2",BH53,0)</f>
        <v>0</v>
      </c>
      <c r="AG53" s="102">
        <f>IF(AQ53="2",BI53,0)</f>
        <v>0</v>
      </c>
      <c r="AH53" s="102">
        <f>IF(AQ53="0",BJ53,0)</f>
        <v>0</v>
      </c>
      <c r="AI53" s="87" t="s">
        <v>650</v>
      </c>
      <c r="AJ53" s="102">
        <f>IF(AN53=0,J53,0)</f>
        <v>0</v>
      </c>
      <c r="AK53" s="102">
        <f>IF(AN53=12,J53,0)</f>
        <v>0</v>
      </c>
      <c r="AL53" s="102">
        <f>IF(AN53=21,J53,0)</f>
        <v>0</v>
      </c>
      <c r="AN53" s="102">
        <v>21</v>
      </c>
      <c r="AO53" s="102">
        <f>G53*0</f>
        <v>0</v>
      </c>
      <c r="AP53" s="102">
        <f>G53*(1-0)</f>
        <v>0</v>
      </c>
      <c r="AQ53" s="104" t="s">
        <v>419</v>
      </c>
      <c r="AV53" s="102">
        <f>AW53+AX53</f>
        <v>0</v>
      </c>
      <c r="AW53" s="102">
        <f>F53*AO53</f>
        <v>0</v>
      </c>
      <c r="AX53" s="102">
        <f>F53*AP53</f>
        <v>0</v>
      </c>
      <c r="AY53" s="104" t="s">
        <v>211</v>
      </c>
      <c r="AZ53" s="104" t="s">
        <v>894</v>
      </c>
      <c r="BA53" s="87" t="s">
        <v>160</v>
      </c>
      <c r="BC53" s="102">
        <f>AW53+AX53</f>
        <v>0</v>
      </c>
      <c r="BD53" s="102">
        <f>G53/(100-BE53)*100</f>
        <v>0</v>
      </c>
      <c r="BE53" s="102">
        <v>0</v>
      </c>
      <c r="BF53" s="102">
        <f>53</f>
        <v>53</v>
      </c>
      <c r="BH53" s="102">
        <f>F53*AO53</f>
        <v>0</v>
      </c>
      <c r="BI53" s="102">
        <f>F53*AP53</f>
        <v>0</v>
      </c>
      <c r="BJ53" s="102">
        <f>F53*G53</f>
        <v>0</v>
      </c>
      <c r="BK53" s="102"/>
      <c r="BL53" s="102"/>
      <c r="BO53" s="102">
        <f>F53*G53</f>
        <v>0</v>
      </c>
      <c r="BW53" s="102">
        <v>21</v>
      </c>
    </row>
    <row r="54" spans="1:11" ht="39" customHeight="1">
      <c r="A54" s="105"/>
      <c r="C54" s="202" t="s">
        <v>796</v>
      </c>
      <c r="D54" s="202"/>
      <c r="E54" s="202"/>
      <c r="F54" s="202"/>
      <c r="G54" s="202"/>
      <c r="H54" s="202"/>
      <c r="I54" s="202"/>
      <c r="J54" s="202"/>
      <c r="K54" s="203"/>
    </row>
    <row r="55" spans="1:11" ht="15">
      <c r="A55" s="105"/>
      <c r="C55" s="106" t="s">
        <v>829</v>
      </c>
      <c r="D55" s="107" t="s">
        <v>577</v>
      </c>
      <c r="F55" s="108">
        <v>1</v>
      </c>
      <c r="G55" s="215"/>
      <c r="K55" s="109"/>
    </row>
    <row r="56" spans="1:75" ht="25.5">
      <c r="A56" s="23" t="s">
        <v>277</v>
      </c>
      <c r="B56" s="19" t="s">
        <v>853</v>
      </c>
      <c r="C56" s="135" t="s">
        <v>523</v>
      </c>
      <c r="D56" s="135"/>
      <c r="E56" s="19" t="s">
        <v>567</v>
      </c>
      <c r="F56" s="102">
        <f>'Stavební rozpočet'!F467</f>
        <v>1</v>
      </c>
      <c r="G56" s="214">
        <f>'Stavební rozpočet'!G467</f>
        <v>0</v>
      </c>
      <c r="H56" s="102">
        <f>F56*AO56</f>
        <v>0</v>
      </c>
      <c r="I56" s="102">
        <f>F56*AP56</f>
        <v>0</v>
      </c>
      <c r="J56" s="102">
        <f>F56*G56</f>
        <v>0</v>
      </c>
      <c r="K56" s="103" t="s">
        <v>577</v>
      </c>
      <c r="Z56" s="102">
        <f>IF(AQ56="5",BJ56,0)</f>
        <v>0</v>
      </c>
      <c r="AB56" s="102">
        <f>IF(AQ56="1",BH56,0)</f>
        <v>0</v>
      </c>
      <c r="AC56" s="102">
        <f>IF(AQ56="1",BI56,0)</f>
        <v>0</v>
      </c>
      <c r="AD56" s="102">
        <f>IF(AQ56="7",BH56,0)</f>
        <v>0</v>
      </c>
      <c r="AE56" s="102">
        <f>IF(AQ56="7",BI56,0)</f>
        <v>0</v>
      </c>
      <c r="AF56" s="102">
        <f>IF(AQ56="2",BH56,0)</f>
        <v>0</v>
      </c>
      <c r="AG56" s="102">
        <f>IF(AQ56="2",BI56,0)</f>
        <v>0</v>
      </c>
      <c r="AH56" s="102">
        <f>IF(AQ56="0",BJ56,0)</f>
        <v>0</v>
      </c>
      <c r="AI56" s="87" t="s">
        <v>650</v>
      </c>
      <c r="AJ56" s="102">
        <f>IF(AN56=0,J56,0)</f>
        <v>0</v>
      </c>
      <c r="AK56" s="102">
        <f>IF(AN56=12,J56,0)</f>
        <v>0</v>
      </c>
      <c r="AL56" s="102">
        <f>IF(AN56=21,J56,0)</f>
        <v>0</v>
      </c>
      <c r="AN56" s="102">
        <v>21</v>
      </c>
      <c r="AO56" s="102">
        <f>G56*0</f>
        <v>0</v>
      </c>
      <c r="AP56" s="102">
        <f>G56*(1-0)</f>
        <v>0</v>
      </c>
      <c r="AQ56" s="104" t="s">
        <v>419</v>
      </c>
      <c r="AV56" s="102">
        <f>AW56+AX56</f>
        <v>0</v>
      </c>
      <c r="AW56" s="102">
        <f>F56*AO56</f>
        <v>0</v>
      </c>
      <c r="AX56" s="102">
        <f>F56*AP56</f>
        <v>0</v>
      </c>
      <c r="AY56" s="104" t="s">
        <v>211</v>
      </c>
      <c r="AZ56" s="104" t="s">
        <v>894</v>
      </c>
      <c r="BA56" s="87" t="s">
        <v>160</v>
      </c>
      <c r="BC56" s="102">
        <f>AW56+AX56</f>
        <v>0</v>
      </c>
      <c r="BD56" s="102">
        <f>G56/(100-BE56)*100</f>
        <v>0</v>
      </c>
      <c r="BE56" s="102">
        <v>0</v>
      </c>
      <c r="BF56" s="102">
        <f>56</f>
        <v>56</v>
      </c>
      <c r="BH56" s="102">
        <f>F56*AO56</f>
        <v>0</v>
      </c>
      <c r="BI56" s="102">
        <f>F56*AP56</f>
        <v>0</v>
      </c>
      <c r="BJ56" s="102">
        <f>F56*G56</f>
        <v>0</v>
      </c>
      <c r="BK56" s="102"/>
      <c r="BL56" s="102"/>
      <c r="BO56" s="102">
        <f>F56*G56</f>
        <v>0</v>
      </c>
      <c r="BW56" s="102">
        <v>21</v>
      </c>
    </row>
    <row r="57" spans="1:11" ht="30.75" customHeight="1">
      <c r="A57" s="105"/>
      <c r="C57" s="202" t="s">
        <v>182</v>
      </c>
      <c r="D57" s="202"/>
      <c r="E57" s="202"/>
      <c r="F57" s="202"/>
      <c r="G57" s="202"/>
      <c r="H57" s="202"/>
      <c r="I57" s="202"/>
      <c r="J57" s="202"/>
      <c r="K57" s="203"/>
    </row>
    <row r="58" spans="1:11" ht="15">
      <c r="A58" s="105"/>
      <c r="C58" s="106" t="s">
        <v>829</v>
      </c>
      <c r="D58" s="107" t="s">
        <v>577</v>
      </c>
      <c r="F58" s="108">
        <v>1</v>
      </c>
      <c r="K58" s="109"/>
    </row>
    <row r="59" spans="1:47" ht="15">
      <c r="A59" s="99" t="s">
        <v>577</v>
      </c>
      <c r="B59" s="22" t="s">
        <v>308</v>
      </c>
      <c r="C59" s="201" t="s">
        <v>696</v>
      </c>
      <c r="D59" s="201"/>
      <c r="E59" s="100" t="s">
        <v>774</v>
      </c>
      <c r="F59" s="100" t="s">
        <v>774</v>
      </c>
      <c r="G59" s="100" t="s">
        <v>774</v>
      </c>
      <c r="H59" s="82">
        <f>SUM(H60:H60)</f>
        <v>0</v>
      </c>
      <c r="I59" s="82">
        <f>SUM(I60:I60)</f>
        <v>0</v>
      </c>
      <c r="J59" s="82">
        <f>SUM(J60:J60)</f>
        <v>0</v>
      </c>
      <c r="K59" s="101" t="s">
        <v>577</v>
      </c>
      <c r="AI59" s="87" t="s">
        <v>650</v>
      </c>
      <c r="AS59" s="82">
        <f>SUM(AJ60:AJ60)</f>
        <v>0</v>
      </c>
      <c r="AT59" s="82">
        <f>SUM(AK60:AK60)</f>
        <v>0</v>
      </c>
      <c r="AU59" s="82">
        <f>SUM(AL60:AL60)</f>
        <v>0</v>
      </c>
    </row>
    <row r="60" spans="1:75" ht="25.5">
      <c r="A60" s="23" t="s">
        <v>502</v>
      </c>
      <c r="B60" s="19" t="s">
        <v>743</v>
      </c>
      <c r="C60" s="135" t="s">
        <v>169</v>
      </c>
      <c r="D60" s="135"/>
      <c r="E60" s="19" t="s">
        <v>567</v>
      </c>
      <c r="F60" s="102">
        <f>'Stavební rozpočet'!F471</f>
        <v>1</v>
      </c>
      <c r="G60" s="214">
        <f>'Stavební rozpočet'!G471</f>
        <v>0</v>
      </c>
      <c r="H60" s="102">
        <f>F60*AO60</f>
        <v>0</v>
      </c>
      <c r="I60" s="102">
        <f>F60*AP60</f>
        <v>0</v>
      </c>
      <c r="J60" s="102">
        <f>F60*G60</f>
        <v>0</v>
      </c>
      <c r="K60" s="103" t="s">
        <v>577</v>
      </c>
      <c r="Z60" s="102">
        <f>IF(AQ60="5",BJ60,0)</f>
        <v>0</v>
      </c>
      <c r="AB60" s="102">
        <f>IF(AQ60="1",BH60,0)</f>
        <v>0</v>
      </c>
      <c r="AC60" s="102">
        <f>IF(AQ60="1",BI60,0)</f>
        <v>0</v>
      </c>
      <c r="AD60" s="102">
        <f>IF(AQ60="7",BH60,0)</f>
        <v>0</v>
      </c>
      <c r="AE60" s="102">
        <f>IF(AQ60="7",BI60,0)</f>
        <v>0</v>
      </c>
      <c r="AF60" s="102">
        <f>IF(AQ60="2",BH60,0)</f>
        <v>0</v>
      </c>
      <c r="AG60" s="102">
        <f>IF(AQ60="2",BI60,0)</f>
        <v>0</v>
      </c>
      <c r="AH60" s="102">
        <f>IF(AQ60="0",BJ60,0)</f>
        <v>0</v>
      </c>
      <c r="AI60" s="87" t="s">
        <v>650</v>
      </c>
      <c r="AJ60" s="102">
        <f>IF(AN60=0,J60,0)</f>
        <v>0</v>
      </c>
      <c r="AK60" s="102">
        <f>IF(AN60=12,J60,0)</f>
        <v>0</v>
      </c>
      <c r="AL60" s="102">
        <f>IF(AN60=21,J60,0)</f>
        <v>0</v>
      </c>
      <c r="AN60" s="102">
        <v>21</v>
      </c>
      <c r="AO60" s="102">
        <f>G60*0</f>
        <v>0</v>
      </c>
      <c r="AP60" s="102">
        <f>G60*(1-0)</f>
        <v>0</v>
      </c>
      <c r="AQ60" s="104" t="s">
        <v>419</v>
      </c>
      <c r="AV60" s="102">
        <f>AW60+AX60</f>
        <v>0</v>
      </c>
      <c r="AW60" s="102">
        <f>F60*AO60</f>
        <v>0</v>
      </c>
      <c r="AX60" s="102">
        <f>F60*AP60</f>
        <v>0</v>
      </c>
      <c r="AY60" s="104" t="s">
        <v>698</v>
      </c>
      <c r="AZ60" s="104" t="s">
        <v>894</v>
      </c>
      <c r="BA60" s="87" t="s">
        <v>160</v>
      </c>
      <c r="BC60" s="102">
        <f>AW60+AX60</f>
        <v>0</v>
      </c>
      <c r="BD60" s="102">
        <f>G60/(100-BE60)*100</f>
        <v>0</v>
      </c>
      <c r="BE60" s="102">
        <v>0</v>
      </c>
      <c r="BF60" s="102">
        <f>60</f>
        <v>60</v>
      </c>
      <c r="BH60" s="102">
        <f>F60*AO60</f>
        <v>0</v>
      </c>
      <c r="BI60" s="102">
        <f>F60*AP60</f>
        <v>0</v>
      </c>
      <c r="BJ60" s="102">
        <f>F60*G60</f>
        <v>0</v>
      </c>
      <c r="BK60" s="102"/>
      <c r="BL60" s="102"/>
      <c r="BP60" s="102">
        <f>F60*G60</f>
        <v>0</v>
      </c>
      <c r="BW60" s="102">
        <v>21</v>
      </c>
    </row>
    <row r="61" spans="1:11" ht="15">
      <c r="A61" s="105"/>
      <c r="C61" s="202" t="s">
        <v>498</v>
      </c>
      <c r="D61" s="202"/>
      <c r="E61" s="202"/>
      <c r="F61" s="202"/>
      <c r="G61" s="202"/>
      <c r="H61" s="202"/>
      <c r="I61" s="202"/>
      <c r="J61" s="202"/>
      <c r="K61" s="203"/>
    </row>
    <row r="62" spans="1:11" ht="15">
      <c r="A62" s="105"/>
      <c r="C62" s="106" t="s">
        <v>829</v>
      </c>
      <c r="D62" s="107" t="s">
        <v>577</v>
      </c>
      <c r="F62" s="108">
        <v>1</v>
      </c>
      <c r="G62" s="215"/>
      <c r="K62" s="109"/>
    </row>
    <row r="63" spans="1:47" ht="15">
      <c r="A63" s="99" t="s">
        <v>577</v>
      </c>
      <c r="B63" s="22" t="s">
        <v>449</v>
      </c>
      <c r="C63" s="201" t="s">
        <v>800</v>
      </c>
      <c r="D63" s="201"/>
      <c r="E63" s="100" t="s">
        <v>774</v>
      </c>
      <c r="F63" s="100" t="s">
        <v>774</v>
      </c>
      <c r="G63" s="100" t="s">
        <v>774</v>
      </c>
      <c r="H63" s="82">
        <f>SUM(H64:H64)</f>
        <v>0</v>
      </c>
      <c r="I63" s="82">
        <f>SUM(I64:I64)</f>
        <v>300000</v>
      </c>
      <c r="J63" s="82">
        <f>SUM(J64:J64)</f>
        <v>300000</v>
      </c>
      <c r="K63" s="101" t="s">
        <v>577</v>
      </c>
      <c r="AI63" s="87" t="s">
        <v>650</v>
      </c>
      <c r="AS63" s="82">
        <f>SUM(AJ64:AJ64)</f>
        <v>0</v>
      </c>
      <c r="AT63" s="82">
        <f>SUM(AK64:AK64)</f>
        <v>0</v>
      </c>
      <c r="AU63" s="82">
        <f>SUM(AL64:AL64)</f>
        <v>300000</v>
      </c>
    </row>
    <row r="64" spans="1:75" ht="25.5">
      <c r="A64" s="23" t="s">
        <v>360</v>
      </c>
      <c r="B64" s="19" t="s">
        <v>41</v>
      </c>
      <c r="C64" s="135" t="s">
        <v>390</v>
      </c>
      <c r="D64" s="135"/>
      <c r="E64" s="19" t="s">
        <v>567</v>
      </c>
      <c r="F64" s="102">
        <f>'Stavební rozpočet'!F475</f>
        <v>1</v>
      </c>
      <c r="G64" s="102">
        <v>300000</v>
      </c>
      <c r="H64" s="102">
        <f>F64*AO64</f>
        <v>0</v>
      </c>
      <c r="I64" s="102">
        <f>F64*AP64</f>
        <v>300000</v>
      </c>
      <c r="J64" s="102">
        <f>F64*G64</f>
        <v>300000</v>
      </c>
      <c r="K64" s="103" t="s">
        <v>577</v>
      </c>
      <c r="Z64" s="102">
        <f>IF(AQ64="5",BJ64,0)</f>
        <v>0</v>
      </c>
      <c r="AB64" s="102">
        <f>IF(AQ64="1",BH64,0)</f>
        <v>0</v>
      </c>
      <c r="AC64" s="102">
        <f>IF(AQ64="1",BI64,0)</f>
        <v>0</v>
      </c>
      <c r="AD64" s="102">
        <f>IF(AQ64="7",BH64,0)</f>
        <v>0</v>
      </c>
      <c r="AE64" s="102">
        <f>IF(AQ64="7",BI64,0)</f>
        <v>0</v>
      </c>
      <c r="AF64" s="102">
        <f>IF(AQ64="2",BH64,0)</f>
        <v>0</v>
      </c>
      <c r="AG64" s="102">
        <f>IF(AQ64="2",BI64,0)</f>
        <v>0</v>
      </c>
      <c r="AH64" s="102">
        <f>IF(AQ64="0",BJ64,0)</f>
        <v>0</v>
      </c>
      <c r="AI64" s="87" t="s">
        <v>650</v>
      </c>
      <c r="AJ64" s="102">
        <f>IF(AN64=0,J64,0)</f>
        <v>0</v>
      </c>
      <c r="AK64" s="102">
        <f>IF(AN64=12,J64,0)</f>
        <v>0</v>
      </c>
      <c r="AL64" s="102">
        <f>IF(AN64=21,J64,0)</f>
        <v>300000</v>
      </c>
      <c r="AN64" s="102">
        <v>21</v>
      </c>
      <c r="AO64" s="102">
        <f>G64*0</f>
        <v>0</v>
      </c>
      <c r="AP64" s="102">
        <f>G64*(1-0)</f>
        <v>300000</v>
      </c>
      <c r="AQ64" s="104" t="s">
        <v>419</v>
      </c>
      <c r="AV64" s="102">
        <f>AW64+AX64</f>
        <v>300000</v>
      </c>
      <c r="AW64" s="102">
        <f>F64*AO64</f>
        <v>0</v>
      </c>
      <c r="AX64" s="102">
        <f>F64*AP64</f>
        <v>300000</v>
      </c>
      <c r="AY64" s="104" t="s">
        <v>914</v>
      </c>
      <c r="AZ64" s="104" t="s">
        <v>894</v>
      </c>
      <c r="BA64" s="87" t="s">
        <v>160</v>
      </c>
      <c r="BC64" s="102">
        <f>AW64+AX64</f>
        <v>300000</v>
      </c>
      <c r="BD64" s="102">
        <f>G64/(100-BE64)*100</f>
        <v>300000</v>
      </c>
      <c r="BE64" s="102">
        <v>0</v>
      </c>
      <c r="BF64" s="102">
        <f>64</f>
        <v>64</v>
      </c>
      <c r="BH64" s="102">
        <f>F64*AO64</f>
        <v>0</v>
      </c>
      <c r="BI64" s="102">
        <f>F64*AP64</f>
        <v>300000</v>
      </c>
      <c r="BJ64" s="102">
        <f>F64*G64</f>
        <v>300000</v>
      </c>
      <c r="BK64" s="102"/>
      <c r="BL64" s="102"/>
      <c r="BQ64" s="102">
        <f>F64*G64</f>
        <v>300000</v>
      </c>
      <c r="BW64" s="102">
        <v>21</v>
      </c>
    </row>
    <row r="65" spans="1:11" ht="15">
      <c r="A65" s="105"/>
      <c r="C65" s="202" t="s">
        <v>302</v>
      </c>
      <c r="D65" s="202"/>
      <c r="E65" s="202"/>
      <c r="F65" s="202"/>
      <c r="G65" s="202"/>
      <c r="H65" s="202"/>
      <c r="I65" s="202"/>
      <c r="J65" s="202"/>
      <c r="K65" s="203"/>
    </row>
    <row r="66" spans="1:11" ht="15">
      <c r="A66" s="105"/>
      <c r="C66" s="106" t="s">
        <v>829</v>
      </c>
      <c r="D66" s="107" t="s">
        <v>302</v>
      </c>
      <c r="F66" s="108">
        <v>1</v>
      </c>
      <c r="G66" s="215"/>
      <c r="K66" s="109"/>
    </row>
    <row r="67" spans="1:47" ht="15">
      <c r="A67" s="99" t="s">
        <v>577</v>
      </c>
      <c r="B67" s="22" t="s">
        <v>214</v>
      </c>
      <c r="C67" s="201" t="s">
        <v>247</v>
      </c>
      <c r="D67" s="201"/>
      <c r="E67" s="100" t="s">
        <v>774</v>
      </c>
      <c r="F67" s="100" t="s">
        <v>774</v>
      </c>
      <c r="G67" s="100" t="s">
        <v>774</v>
      </c>
      <c r="H67" s="82">
        <f>SUM(H68:H71)</f>
        <v>0</v>
      </c>
      <c r="I67" s="82">
        <f>SUM(I68:I71)</f>
        <v>0</v>
      </c>
      <c r="J67" s="82">
        <f>SUM(J68:J71)</f>
        <v>0</v>
      </c>
      <c r="K67" s="101" t="s">
        <v>577</v>
      </c>
      <c r="AI67" s="87" t="s">
        <v>650</v>
      </c>
      <c r="AS67" s="82">
        <f>SUM(AJ68:AJ71)</f>
        <v>0</v>
      </c>
      <c r="AT67" s="82">
        <f>SUM(AK68:AK71)</f>
        <v>0</v>
      </c>
      <c r="AU67" s="82">
        <f>SUM(AL68:AL71)</f>
        <v>0</v>
      </c>
    </row>
    <row r="68" spans="1:75" ht="25.5">
      <c r="A68" s="23" t="s">
        <v>91</v>
      </c>
      <c r="B68" s="19" t="s">
        <v>641</v>
      </c>
      <c r="C68" s="135" t="s">
        <v>468</v>
      </c>
      <c r="D68" s="135"/>
      <c r="E68" s="19" t="s">
        <v>567</v>
      </c>
      <c r="F68" s="102">
        <f>'Stavební rozpočet'!F479</f>
        <v>1</v>
      </c>
      <c r="G68" s="214">
        <f>'Stavební rozpočet'!G479</f>
        <v>0</v>
      </c>
      <c r="H68" s="102">
        <f>F68*AO68</f>
        <v>0</v>
      </c>
      <c r="I68" s="102">
        <f>F68*AP68</f>
        <v>0</v>
      </c>
      <c r="J68" s="102">
        <f>F68*G68</f>
        <v>0</v>
      </c>
      <c r="K68" s="103" t="s">
        <v>577</v>
      </c>
      <c r="Z68" s="102">
        <f>IF(AQ68="5",BJ68,0)</f>
        <v>0</v>
      </c>
      <c r="AB68" s="102">
        <f>IF(AQ68="1",BH68,0)</f>
        <v>0</v>
      </c>
      <c r="AC68" s="102">
        <f>IF(AQ68="1",BI68,0)</f>
        <v>0</v>
      </c>
      <c r="AD68" s="102">
        <f>IF(AQ68="7",BH68,0)</f>
        <v>0</v>
      </c>
      <c r="AE68" s="102">
        <f>IF(AQ68="7",BI68,0)</f>
        <v>0</v>
      </c>
      <c r="AF68" s="102">
        <f>IF(AQ68="2",BH68,0)</f>
        <v>0</v>
      </c>
      <c r="AG68" s="102">
        <f>IF(AQ68="2",BI68,0)</f>
        <v>0</v>
      </c>
      <c r="AH68" s="102">
        <f>IF(AQ68="0",BJ68,0)</f>
        <v>0</v>
      </c>
      <c r="AI68" s="87" t="s">
        <v>650</v>
      </c>
      <c r="AJ68" s="102">
        <f>IF(AN68=0,J68,0)</f>
        <v>0</v>
      </c>
      <c r="AK68" s="102">
        <f>IF(AN68=12,J68,0)</f>
        <v>0</v>
      </c>
      <c r="AL68" s="102">
        <f>IF(AN68=21,J68,0)</f>
        <v>0</v>
      </c>
      <c r="AN68" s="102">
        <v>21</v>
      </c>
      <c r="AO68" s="102">
        <f>G68*0</f>
        <v>0</v>
      </c>
      <c r="AP68" s="102">
        <f>G68*(1-0)</f>
        <v>0</v>
      </c>
      <c r="AQ68" s="104" t="s">
        <v>419</v>
      </c>
      <c r="AV68" s="102">
        <f>AW68+AX68</f>
        <v>0</v>
      </c>
      <c r="AW68" s="102">
        <f>F68*AO68</f>
        <v>0</v>
      </c>
      <c r="AX68" s="102">
        <f>F68*AP68</f>
        <v>0</v>
      </c>
      <c r="AY68" s="104" t="s">
        <v>594</v>
      </c>
      <c r="AZ68" s="104" t="s">
        <v>894</v>
      </c>
      <c r="BA68" s="87" t="s">
        <v>160</v>
      </c>
      <c r="BC68" s="102">
        <f>AW68+AX68</f>
        <v>0</v>
      </c>
      <c r="BD68" s="102">
        <f>G68/(100-BE68)*100</f>
        <v>0</v>
      </c>
      <c r="BE68" s="102">
        <v>0</v>
      </c>
      <c r="BF68" s="102">
        <f>68</f>
        <v>68</v>
      </c>
      <c r="BH68" s="102">
        <f>F68*AO68</f>
        <v>0</v>
      </c>
      <c r="BI68" s="102">
        <f>F68*AP68</f>
        <v>0</v>
      </c>
      <c r="BJ68" s="102">
        <f>F68*G68</f>
        <v>0</v>
      </c>
      <c r="BK68" s="102"/>
      <c r="BL68" s="102"/>
      <c r="BU68" s="102">
        <f>F68*G68</f>
        <v>0</v>
      </c>
      <c r="BW68" s="102">
        <v>21</v>
      </c>
    </row>
    <row r="69" spans="1:11" ht="15">
      <c r="A69" s="105"/>
      <c r="C69" s="202" t="s">
        <v>117</v>
      </c>
      <c r="D69" s="202"/>
      <c r="E69" s="202"/>
      <c r="F69" s="202"/>
      <c r="G69" s="202"/>
      <c r="H69" s="202"/>
      <c r="I69" s="202"/>
      <c r="J69" s="202"/>
      <c r="K69" s="203"/>
    </row>
    <row r="70" spans="1:11" ht="15">
      <c r="A70" s="105"/>
      <c r="C70" s="106" t="s">
        <v>829</v>
      </c>
      <c r="D70" s="107" t="s">
        <v>577</v>
      </c>
      <c r="F70" s="108">
        <v>1</v>
      </c>
      <c r="G70" s="215"/>
      <c r="K70" s="109"/>
    </row>
    <row r="71" spans="1:75" ht="25.5">
      <c r="A71" s="23" t="s">
        <v>579</v>
      </c>
      <c r="B71" s="19" t="s">
        <v>58</v>
      </c>
      <c r="C71" s="135" t="s">
        <v>305</v>
      </c>
      <c r="D71" s="135"/>
      <c r="E71" s="19" t="s">
        <v>567</v>
      </c>
      <c r="F71" s="102">
        <f>'Stavební rozpočet'!F482</f>
        <v>1</v>
      </c>
      <c r="G71" s="214">
        <f>'Stavební rozpočet'!G482</f>
        <v>0</v>
      </c>
      <c r="H71" s="102">
        <f>F71*AO71</f>
        <v>0</v>
      </c>
      <c r="I71" s="102">
        <f>F71*AP71</f>
        <v>0</v>
      </c>
      <c r="J71" s="102">
        <f>F71*G71</f>
        <v>0</v>
      </c>
      <c r="K71" s="103" t="s">
        <v>577</v>
      </c>
      <c r="Z71" s="102">
        <f>IF(AQ71="5",BJ71,0)</f>
        <v>0</v>
      </c>
      <c r="AB71" s="102">
        <f>IF(AQ71="1",BH71,0)</f>
        <v>0</v>
      </c>
      <c r="AC71" s="102">
        <f>IF(AQ71="1",BI71,0)</f>
        <v>0</v>
      </c>
      <c r="AD71" s="102">
        <f>IF(AQ71="7",BH71,0)</f>
        <v>0</v>
      </c>
      <c r="AE71" s="102">
        <f>IF(AQ71="7",BI71,0)</f>
        <v>0</v>
      </c>
      <c r="AF71" s="102">
        <f>IF(AQ71="2",BH71,0)</f>
        <v>0</v>
      </c>
      <c r="AG71" s="102">
        <f>IF(AQ71="2",BI71,0)</f>
        <v>0</v>
      </c>
      <c r="AH71" s="102">
        <f>IF(AQ71="0",BJ71,0)</f>
        <v>0</v>
      </c>
      <c r="AI71" s="87" t="s">
        <v>650</v>
      </c>
      <c r="AJ71" s="102">
        <f>IF(AN71=0,J71,0)</f>
        <v>0</v>
      </c>
      <c r="AK71" s="102">
        <f>IF(AN71=12,J71,0)</f>
        <v>0</v>
      </c>
      <c r="AL71" s="102">
        <f>IF(AN71=21,J71,0)</f>
        <v>0</v>
      </c>
      <c r="AN71" s="102">
        <v>21</v>
      </c>
      <c r="AO71" s="102">
        <f>G71*0</f>
        <v>0</v>
      </c>
      <c r="AP71" s="102">
        <f>G71*(1-0)</f>
        <v>0</v>
      </c>
      <c r="AQ71" s="104" t="s">
        <v>419</v>
      </c>
      <c r="AV71" s="102">
        <f>AW71+AX71</f>
        <v>0</v>
      </c>
      <c r="AW71" s="102">
        <f>F71*AO71</f>
        <v>0</v>
      </c>
      <c r="AX71" s="102">
        <f>F71*AP71</f>
        <v>0</v>
      </c>
      <c r="AY71" s="104" t="s">
        <v>594</v>
      </c>
      <c r="AZ71" s="104" t="s">
        <v>894</v>
      </c>
      <c r="BA71" s="87" t="s">
        <v>160</v>
      </c>
      <c r="BC71" s="102">
        <f>AW71+AX71</f>
        <v>0</v>
      </c>
      <c r="BD71" s="102">
        <f>G71/(100-BE71)*100</f>
        <v>0</v>
      </c>
      <c r="BE71" s="102">
        <v>0</v>
      </c>
      <c r="BF71" s="102">
        <f>71</f>
        <v>71</v>
      </c>
      <c r="BH71" s="102">
        <f>F71*AO71</f>
        <v>0</v>
      </c>
      <c r="BI71" s="102">
        <f>F71*AP71</f>
        <v>0</v>
      </c>
      <c r="BJ71" s="102">
        <f>F71*G71</f>
        <v>0</v>
      </c>
      <c r="BK71" s="102"/>
      <c r="BL71" s="102"/>
      <c r="BU71" s="102">
        <f>F71*G71</f>
        <v>0</v>
      </c>
      <c r="BW71" s="102">
        <v>21</v>
      </c>
    </row>
    <row r="72" spans="1:11" ht="15">
      <c r="A72" s="119"/>
      <c r="B72" s="120"/>
      <c r="C72" s="121" t="s">
        <v>829</v>
      </c>
      <c r="D72" s="122" t="s">
        <v>577</v>
      </c>
      <c r="E72" s="120"/>
      <c r="F72" s="123">
        <v>1</v>
      </c>
      <c r="G72" s="221"/>
      <c r="H72" s="120"/>
      <c r="I72" s="120"/>
      <c r="J72" s="120"/>
      <c r="K72" s="124"/>
    </row>
    <row r="73" spans="8:10" ht="15">
      <c r="H73" s="194" t="s">
        <v>668</v>
      </c>
      <c r="I73" s="194"/>
      <c r="J73" s="117">
        <f>J14+J29+J34+J59+J63+J67</f>
        <v>300000</v>
      </c>
    </row>
    <row r="74" ht="45">
      <c r="A74" s="118" t="s">
        <v>83</v>
      </c>
    </row>
    <row r="75" spans="1:11" ht="50.25" customHeight="1">
      <c r="A75" s="135" t="s">
        <v>883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</sheetData>
  <sheetProtection password="C6FC" sheet="1"/>
  <mergeCells count="65">
    <mergeCell ref="C71:D71"/>
    <mergeCell ref="H73:I73"/>
    <mergeCell ref="A75:K75"/>
    <mergeCell ref="C63:D63"/>
    <mergeCell ref="C64:D64"/>
    <mergeCell ref="C65:K65"/>
    <mergeCell ref="C67:D67"/>
    <mergeCell ref="C68:D68"/>
    <mergeCell ref="C69:K69"/>
    <mergeCell ref="C54:K54"/>
    <mergeCell ref="C56:D56"/>
    <mergeCell ref="C57:K57"/>
    <mergeCell ref="C59:D59"/>
    <mergeCell ref="C60:D60"/>
    <mergeCell ref="C61:K61"/>
    <mergeCell ref="C36:K36"/>
    <mergeCell ref="C47:D47"/>
    <mergeCell ref="C48:K48"/>
    <mergeCell ref="C50:D50"/>
    <mergeCell ref="C51:K51"/>
    <mergeCell ref="C53:D53"/>
    <mergeCell ref="C27:K27"/>
    <mergeCell ref="C29:D29"/>
    <mergeCell ref="C30:D30"/>
    <mergeCell ref="C32:D32"/>
    <mergeCell ref="C34:D34"/>
    <mergeCell ref="C35:D35"/>
    <mergeCell ref="C17:D17"/>
    <mergeCell ref="C19:D19"/>
    <mergeCell ref="C20:K20"/>
    <mergeCell ref="C22:D22"/>
    <mergeCell ref="C24:D24"/>
    <mergeCell ref="C26:D26"/>
    <mergeCell ref="C11:D11"/>
    <mergeCell ref="H10:J10"/>
    <mergeCell ref="C12:D12"/>
    <mergeCell ref="C13:D13"/>
    <mergeCell ref="C14:D14"/>
    <mergeCell ref="C15:D15"/>
    <mergeCell ref="I2:K3"/>
    <mergeCell ref="I4:K5"/>
    <mergeCell ref="I6:K7"/>
    <mergeCell ref="I8:K9"/>
    <mergeCell ref="C10:D10"/>
    <mergeCell ref="H4:H5"/>
    <mergeCell ref="H6:H7"/>
    <mergeCell ref="H8:H9"/>
    <mergeCell ref="C2:D3"/>
    <mergeCell ref="C4:D5"/>
    <mergeCell ref="C6:D7"/>
    <mergeCell ref="C8:D9"/>
    <mergeCell ref="G2:G3"/>
    <mergeCell ref="G4:G5"/>
    <mergeCell ref="G6:G7"/>
    <mergeCell ref="G8:G9"/>
    <mergeCell ref="A1:K1"/>
    <mergeCell ref="A2:B3"/>
    <mergeCell ref="A4:B5"/>
    <mergeCell ref="A6:B7"/>
    <mergeCell ref="A8:B9"/>
    <mergeCell ref="E2:F3"/>
    <mergeCell ref="E4:F5"/>
    <mergeCell ref="E6:F7"/>
    <mergeCell ref="E8:F9"/>
    <mergeCell ref="H2:H3"/>
  </mergeCells>
  <printOptions/>
  <pageMargins left="0.394" right="0.394" top="0.591" bottom="0.591" header="0" footer="0"/>
  <pageSetup firstPageNumber="0" useFirstPageNumber="1" fitToHeight="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86"/>
  <sheetViews>
    <sheetView showOutlineSymbols="0" zoomScalePageLayoutView="0" workbookViewId="0" topLeftCell="A1">
      <pane ySplit="11" topLeftCell="A12" activePane="bottomLeft" state="frozen"/>
      <selection pane="topLeft" activeCell="A486" sqref="A486:K486"/>
      <selection pane="bottomLeft" activeCell="A1" sqref="A1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50" style="0" customWidth="1"/>
    <col min="4" max="4" width="41.66015625" style="0" customWidth="1"/>
    <col min="5" max="5" width="7.83203125" style="0" customWidth="1"/>
    <col min="6" max="6" width="15" style="0" customWidth="1"/>
    <col min="7" max="7" width="14" style="0" customWidth="1"/>
    <col min="8" max="10" width="18.33203125" style="0" customWidth="1"/>
    <col min="11" max="11" width="15.66015625" style="0" customWidth="1"/>
    <col min="12" max="24" width="14.16015625" style="0" customWidth="1"/>
    <col min="25" max="75" width="14.16015625" style="0" hidden="1" customWidth="1"/>
  </cols>
  <sheetData>
    <row r="1" spans="1:47" ht="54.75" customHeight="1">
      <c r="A1" s="126" t="s">
        <v>761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AS1" s="68">
        <f>SUM(AJ1:AJ2)</f>
        <v>0</v>
      </c>
      <c r="AT1" s="68">
        <f>SUM(AK1:AK2)</f>
        <v>0</v>
      </c>
      <c r="AU1" s="68">
        <f>SUM(AL1:AL2)</f>
        <v>0</v>
      </c>
    </row>
    <row r="2" spans="1:11" ht="15" customHeight="1">
      <c r="A2" s="127" t="s">
        <v>68</v>
      </c>
      <c r="B2" s="128"/>
      <c r="C2" s="136" t="s">
        <v>706</v>
      </c>
      <c r="D2" s="137"/>
      <c r="E2" s="128" t="s">
        <v>6</v>
      </c>
      <c r="F2" s="128"/>
      <c r="G2" s="128" t="s">
        <v>774</v>
      </c>
      <c r="H2" s="134" t="s">
        <v>707</v>
      </c>
      <c r="I2" s="134" t="s">
        <v>44</v>
      </c>
      <c r="J2" s="128"/>
      <c r="K2" s="139"/>
    </row>
    <row r="3" spans="1:11" ht="15" customHeight="1">
      <c r="A3" s="129"/>
      <c r="B3" s="130"/>
      <c r="C3" s="138"/>
      <c r="D3" s="138"/>
      <c r="E3" s="130"/>
      <c r="F3" s="130"/>
      <c r="G3" s="130"/>
      <c r="H3" s="130"/>
      <c r="I3" s="130"/>
      <c r="J3" s="130"/>
      <c r="K3" s="140"/>
    </row>
    <row r="4" spans="1:11" ht="15" customHeight="1">
      <c r="A4" s="131" t="s">
        <v>466</v>
      </c>
      <c r="B4" s="130"/>
      <c r="C4" s="135" t="s">
        <v>703</v>
      </c>
      <c r="D4" s="130"/>
      <c r="E4" s="130" t="s">
        <v>745</v>
      </c>
      <c r="F4" s="130"/>
      <c r="G4" s="130" t="s">
        <v>774</v>
      </c>
      <c r="H4" s="135" t="s">
        <v>575</v>
      </c>
      <c r="I4" s="135" t="s">
        <v>683</v>
      </c>
      <c r="J4" s="130"/>
      <c r="K4" s="140"/>
    </row>
    <row r="5" spans="1:11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40"/>
    </row>
    <row r="6" spans="1:11" ht="15" customHeight="1">
      <c r="A6" s="131" t="s">
        <v>85</v>
      </c>
      <c r="B6" s="130"/>
      <c r="C6" s="135" t="s">
        <v>95</v>
      </c>
      <c r="D6" s="130"/>
      <c r="E6" s="130" t="s">
        <v>300</v>
      </c>
      <c r="F6" s="130"/>
      <c r="G6" s="130" t="s">
        <v>774</v>
      </c>
      <c r="H6" s="135" t="s">
        <v>730</v>
      </c>
      <c r="I6" s="135" t="s">
        <v>254</v>
      </c>
      <c r="J6" s="130"/>
      <c r="K6" s="140"/>
    </row>
    <row r="7" spans="1:11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40"/>
    </row>
    <row r="8" spans="1:11" ht="15" customHeight="1">
      <c r="A8" s="131" t="s">
        <v>434</v>
      </c>
      <c r="B8" s="130"/>
      <c r="C8" s="135" t="s">
        <v>433</v>
      </c>
      <c r="D8" s="130"/>
      <c r="E8" s="130" t="s">
        <v>483</v>
      </c>
      <c r="F8" s="130"/>
      <c r="G8" s="130" t="s">
        <v>562</v>
      </c>
      <c r="H8" s="135" t="s">
        <v>559</v>
      </c>
      <c r="I8" s="135" t="s">
        <v>890</v>
      </c>
      <c r="J8" s="130"/>
      <c r="K8" s="140"/>
    </row>
    <row r="9" spans="1:11" ht="15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40"/>
    </row>
    <row r="10" spans="1:75" ht="15" customHeight="1">
      <c r="A10" s="54" t="s">
        <v>74</v>
      </c>
      <c r="B10" s="51" t="s">
        <v>306</v>
      </c>
      <c r="C10" s="206" t="s">
        <v>897</v>
      </c>
      <c r="D10" s="207"/>
      <c r="E10" s="51" t="s">
        <v>322</v>
      </c>
      <c r="F10" s="2" t="s">
        <v>506</v>
      </c>
      <c r="G10" s="65" t="s">
        <v>297</v>
      </c>
      <c r="H10" s="188" t="s">
        <v>536</v>
      </c>
      <c r="I10" s="189"/>
      <c r="J10" s="190"/>
      <c r="K10" s="2" t="s">
        <v>253</v>
      </c>
      <c r="BK10" s="52" t="s">
        <v>365</v>
      </c>
      <c r="BL10" s="80" t="s">
        <v>455</v>
      </c>
      <c r="BW10" s="80" t="s">
        <v>916</v>
      </c>
    </row>
    <row r="11" spans="1:62" ht="15" customHeight="1">
      <c r="A11" s="38" t="s">
        <v>774</v>
      </c>
      <c r="B11" s="59" t="s">
        <v>774</v>
      </c>
      <c r="C11" s="187" t="s">
        <v>834</v>
      </c>
      <c r="D11" s="208"/>
      <c r="E11" s="59" t="s">
        <v>774</v>
      </c>
      <c r="F11" s="59" t="s">
        <v>774</v>
      </c>
      <c r="G11" s="44" t="s">
        <v>794</v>
      </c>
      <c r="H11" s="64" t="s">
        <v>54</v>
      </c>
      <c r="I11" s="34" t="s">
        <v>171</v>
      </c>
      <c r="J11" s="5" t="s">
        <v>96</v>
      </c>
      <c r="K11" s="34" t="s">
        <v>235</v>
      </c>
      <c r="Z11" s="52" t="s">
        <v>656</v>
      </c>
      <c r="AA11" s="52" t="s">
        <v>519</v>
      </c>
      <c r="AB11" s="52" t="s">
        <v>857</v>
      </c>
      <c r="AC11" s="52" t="s">
        <v>262</v>
      </c>
      <c r="AD11" s="52" t="s">
        <v>713</v>
      </c>
      <c r="AE11" s="52" t="s">
        <v>341</v>
      </c>
      <c r="AF11" s="52" t="s">
        <v>753</v>
      </c>
      <c r="AG11" s="52" t="s">
        <v>394</v>
      </c>
      <c r="AH11" s="52" t="s">
        <v>245</v>
      </c>
      <c r="BH11" s="52" t="s">
        <v>657</v>
      </c>
      <c r="BI11" s="52" t="s">
        <v>844</v>
      </c>
      <c r="BJ11" s="52" t="s">
        <v>908</v>
      </c>
    </row>
    <row r="12" spans="1:11" ht="15" customHeight="1">
      <c r="A12" s="29" t="s">
        <v>577</v>
      </c>
      <c r="B12" s="70" t="s">
        <v>577</v>
      </c>
      <c r="C12" s="200" t="s">
        <v>757</v>
      </c>
      <c r="D12" s="209"/>
      <c r="E12" s="69" t="s">
        <v>774</v>
      </c>
      <c r="F12" s="69" t="s">
        <v>774</v>
      </c>
      <c r="G12" s="69" t="s">
        <v>774</v>
      </c>
      <c r="H12" s="67">
        <f>H13+H19+H27+H30+H38+H58+H68+H174+H243+H270+H279+H284+H293+H320+H335+H343+H350+H352+H357+H366</f>
        <v>0</v>
      </c>
      <c r="I12" s="67">
        <f>I13+I19+I27+I30+I38+I58+I68+I174+I243+I270+I279+I284+I293+I320+I335+I343+I350+I352+I357+I366</f>
        <v>0</v>
      </c>
      <c r="J12" s="67">
        <f>J13+J19+J27+J30+J38+J58+J68+J174+J243+J270+J279+J284+J293+J320+J335+J343+J350+J352+J357+J366</f>
        <v>0</v>
      </c>
      <c r="K12" s="61" t="s">
        <v>577</v>
      </c>
    </row>
    <row r="13" spans="1:47" ht="15" customHeight="1">
      <c r="A13" s="17" t="s">
        <v>577</v>
      </c>
      <c r="B13" s="20" t="s">
        <v>673</v>
      </c>
      <c r="C13" s="201" t="s">
        <v>845</v>
      </c>
      <c r="D13" s="210"/>
      <c r="E13" s="14" t="s">
        <v>774</v>
      </c>
      <c r="F13" s="14" t="s">
        <v>774</v>
      </c>
      <c r="G13" s="14" t="s">
        <v>774</v>
      </c>
      <c r="H13" s="68">
        <f>SUM(H14:H14)</f>
        <v>0</v>
      </c>
      <c r="I13" s="68">
        <f>SUM(I14:I14)</f>
        <v>0</v>
      </c>
      <c r="J13" s="68">
        <f>SUM(J14:J14)</f>
        <v>0</v>
      </c>
      <c r="K13" s="42" t="s">
        <v>577</v>
      </c>
      <c r="AI13" s="52" t="s">
        <v>566</v>
      </c>
      <c r="AS13" s="68">
        <f>SUM(AJ14:AJ14)</f>
        <v>0</v>
      </c>
      <c r="AT13" s="68">
        <f>SUM(AK14:AK14)</f>
        <v>0</v>
      </c>
      <c r="AU13" s="68">
        <f>SUM(AL14:AL14)</f>
        <v>0</v>
      </c>
    </row>
    <row r="14" spans="1:75" ht="13.5" customHeight="1">
      <c r="A14" s="7" t="s">
        <v>829</v>
      </c>
      <c r="B14" s="11" t="s">
        <v>628</v>
      </c>
      <c r="C14" s="135" t="s">
        <v>741</v>
      </c>
      <c r="D14" s="130"/>
      <c r="E14" s="11" t="s">
        <v>819</v>
      </c>
      <c r="F14" s="15">
        <v>391</v>
      </c>
      <c r="G14" s="15">
        <v>0</v>
      </c>
      <c r="H14" s="15">
        <f>F14*AO14</f>
        <v>0</v>
      </c>
      <c r="I14" s="15">
        <f>F14*AP14</f>
        <v>0</v>
      </c>
      <c r="J14" s="15">
        <f>F14*G14</f>
        <v>0</v>
      </c>
      <c r="K14" s="12" t="s">
        <v>406</v>
      </c>
      <c r="Z14" s="15">
        <f>IF(AQ14="5",BJ14,0)</f>
        <v>0</v>
      </c>
      <c r="AB14" s="15">
        <f>IF(AQ14="1",BH14,0)</f>
        <v>0</v>
      </c>
      <c r="AC14" s="15">
        <f>IF(AQ14="1",BI14,0)</f>
        <v>0</v>
      </c>
      <c r="AD14" s="15">
        <f>IF(AQ14="7",BH14,0)</f>
        <v>0</v>
      </c>
      <c r="AE14" s="15">
        <f>IF(AQ14="7",BI14,0)</f>
        <v>0</v>
      </c>
      <c r="AF14" s="15">
        <f>IF(AQ14="2",BH14,0)</f>
        <v>0</v>
      </c>
      <c r="AG14" s="15">
        <f>IF(AQ14="2",BI14,0)</f>
        <v>0</v>
      </c>
      <c r="AH14" s="15">
        <f>IF(AQ14="0",BJ14,0)</f>
        <v>0</v>
      </c>
      <c r="AI14" s="52" t="s">
        <v>566</v>
      </c>
      <c r="AJ14" s="15">
        <f>IF(AN14=0,J14,0)</f>
        <v>0</v>
      </c>
      <c r="AK14" s="15">
        <f>IF(AN14=12,J14,0)</f>
        <v>0</v>
      </c>
      <c r="AL14" s="15">
        <f>IF(AN14=21,J14,0)</f>
        <v>0</v>
      </c>
      <c r="AN14" s="15">
        <v>21</v>
      </c>
      <c r="AO14" s="15">
        <f>G14*0.445318352059925</f>
        <v>0</v>
      </c>
      <c r="AP14" s="15">
        <f>G14*(1-0.445318352059925)</f>
        <v>0</v>
      </c>
      <c r="AQ14" s="1" t="s">
        <v>829</v>
      </c>
      <c r="AV14" s="15">
        <f>AW14+AX14</f>
        <v>0</v>
      </c>
      <c r="AW14" s="15">
        <f>F14*AO14</f>
        <v>0</v>
      </c>
      <c r="AX14" s="15">
        <f>F14*AP14</f>
        <v>0</v>
      </c>
      <c r="AY14" s="1" t="s">
        <v>439</v>
      </c>
      <c r="AZ14" s="1" t="s">
        <v>521</v>
      </c>
      <c r="BA14" s="52" t="s">
        <v>870</v>
      </c>
      <c r="BC14" s="15">
        <f>AW14+AX14</f>
        <v>0</v>
      </c>
      <c r="BD14" s="15">
        <f>G14/(100-BE14)*100</f>
        <v>0</v>
      </c>
      <c r="BE14" s="15">
        <v>0</v>
      </c>
      <c r="BF14" s="15">
        <f>14</f>
        <v>14</v>
      </c>
      <c r="BH14" s="15">
        <f>F14*AO14</f>
        <v>0</v>
      </c>
      <c r="BI14" s="15">
        <f>F14*AP14</f>
        <v>0</v>
      </c>
      <c r="BJ14" s="15">
        <f>F14*G14</f>
        <v>0</v>
      </c>
      <c r="BK14" s="15"/>
      <c r="BL14" s="15">
        <v>18</v>
      </c>
      <c r="BW14" s="15">
        <v>21</v>
      </c>
    </row>
    <row r="15" spans="1:11" ht="13.5" customHeight="1">
      <c r="A15" s="53"/>
      <c r="C15" s="202" t="s">
        <v>663</v>
      </c>
      <c r="D15" s="211"/>
      <c r="E15" s="211"/>
      <c r="F15" s="211"/>
      <c r="G15" s="211"/>
      <c r="H15" s="211"/>
      <c r="I15" s="211"/>
      <c r="J15" s="211"/>
      <c r="K15" s="212"/>
    </row>
    <row r="16" spans="1:11" ht="15" customHeight="1">
      <c r="A16" s="53"/>
      <c r="C16" s="66" t="s">
        <v>691</v>
      </c>
      <c r="D16" s="18" t="s">
        <v>791</v>
      </c>
      <c r="F16" s="13">
        <v>100.00000000000001</v>
      </c>
      <c r="K16" s="32"/>
    </row>
    <row r="17" spans="1:11" ht="15" customHeight="1">
      <c r="A17" s="53"/>
      <c r="C17" s="66" t="s">
        <v>246</v>
      </c>
      <c r="D17" s="18" t="s">
        <v>272</v>
      </c>
      <c r="F17" s="13">
        <v>163.5</v>
      </c>
      <c r="K17" s="32"/>
    </row>
    <row r="18" spans="1:11" ht="15" customHeight="1">
      <c r="A18" s="53"/>
      <c r="C18" s="66" t="s">
        <v>469</v>
      </c>
      <c r="D18" s="18" t="s">
        <v>272</v>
      </c>
      <c r="F18" s="13">
        <v>127.50000000000001</v>
      </c>
      <c r="K18" s="32"/>
    </row>
    <row r="19" spans="1:47" ht="15" customHeight="1">
      <c r="A19" s="17" t="s">
        <v>577</v>
      </c>
      <c r="B19" s="20" t="s">
        <v>504</v>
      </c>
      <c r="C19" s="201" t="s">
        <v>804</v>
      </c>
      <c r="D19" s="210"/>
      <c r="E19" s="14" t="s">
        <v>774</v>
      </c>
      <c r="F19" s="14" t="s">
        <v>774</v>
      </c>
      <c r="G19" s="14" t="s">
        <v>774</v>
      </c>
      <c r="H19" s="68">
        <f>SUM(H20:H24)</f>
        <v>0</v>
      </c>
      <c r="I19" s="68">
        <f>SUM(I20:I24)</f>
        <v>0</v>
      </c>
      <c r="J19" s="68">
        <f>SUM(J20:J24)</f>
        <v>0</v>
      </c>
      <c r="K19" s="42" t="s">
        <v>577</v>
      </c>
      <c r="AI19" s="52" t="s">
        <v>566</v>
      </c>
      <c r="AS19" s="68">
        <f>SUM(AJ20:AJ24)</f>
        <v>0</v>
      </c>
      <c r="AT19" s="68">
        <f>SUM(AK20:AK24)</f>
        <v>0</v>
      </c>
      <c r="AU19" s="68">
        <f>SUM(AL20:AL24)</f>
        <v>0</v>
      </c>
    </row>
    <row r="20" spans="1:75" ht="13.5" customHeight="1">
      <c r="A20" s="7" t="s">
        <v>574</v>
      </c>
      <c r="B20" s="11" t="s">
        <v>61</v>
      </c>
      <c r="C20" s="135" t="s">
        <v>584</v>
      </c>
      <c r="D20" s="130"/>
      <c r="E20" s="11" t="s">
        <v>807</v>
      </c>
      <c r="F20" s="15">
        <v>11.88</v>
      </c>
      <c r="G20" s="15">
        <v>0</v>
      </c>
      <c r="H20" s="15">
        <f>F20*AO20</f>
        <v>0</v>
      </c>
      <c r="I20" s="15">
        <f>F20*AP20</f>
        <v>0</v>
      </c>
      <c r="J20" s="15">
        <f>F20*G20</f>
        <v>0</v>
      </c>
      <c r="K20" s="12" t="s">
        <v>406</v>
      </c>
      <c r="Z20" s="15">
        <f>IF(AQ20="5",BJ20,0)</f>
        <v>0</v>
      </c>
      <c r="AB20" s="15">
        <f>IF(AQ20="1",BH20,0)</f>
        <v>0</v>
      </c>
      <c r="AC20" s="15">
        <f>IF(AQ20="1",BI20,0)</f>
        <v>0</v>
      </c>
      <c r="AD20" s="15">
        <f>IF(AQ20="7",BH20,0)</f>
        <v>0</v>
      </c>
      <c r="AE20" s="15">
        <f>IF(AQ20="7",BI20,0)</f>
        <v>0</v>
      </c>
      <c r="AF20" s="15">
        <f>IF(AQ20="2",BH20,0)</f>
        <v>0</v>
      </c>
      <c r="AG20" s="15">
        <f>IF(AQ20="2",BI20,0)</f>
        <v>0</v>
      </c>
      <c r="AH20" s="15">
        <f>IF(AQ20="0",BJ20,0)</f>
        <v>0</v>
      </c>
      <c r="AI20" s="52" t="s">
        <v>566</v>
      </c>
      <c r="AJ20" s="15">
        <f>IF(AN20=0,J20,0)</f>
        <v>0</v>
      </c>
      <c r="AK20" s="15">
        <f>IF(AN20=12,J20,0)</f>
        <v>0</v>
      </c>
      <c r="AL20" s="15">
        <f>IF(AN20=21,J20,0)</f>
        <v>0</v>
      </c>
      <c r="AN20" s="15">
        <v>21</v>
      </c>
      <c r="AO20" s="15">
        <f>G20*0.695769781560979</f>
        <v>0</v>
      </c>
      <c r="AP20" s="15">
        <f>G20*(1-0.695769781560979)</f>
        <v>0</v>
      </c>
      <c r="AQ20" s="1" t="s">
        <v>829</v>
      </c>
      <c r="AV20" s="15">
        <f>AW20+AX20</f>
        <v>0</v>
      </c>
      <c r="AW20" s="15">
        <f>F20*AO20</f>
        <v>0</v>
      </c>
      <c r="AX20" s="15">
        <f>F20*AP20</f>
        <v>0</v>
      </c>
      <c r="AY20" s="1" t="s">
        <v>599</v>
      </c>
      <c r="AZ20" s="1" t="s">
        <v>76</v>
      </c>
      <c r="BA20" s="52" t="s">
        <v>870</v>
      </c>
      <c r="BC20" s="15">
        <f>AW20+AX20</f>
        <v>0</v>
      </c>
      <c r="BD20" s="15">
        <f>G20/(100-BE20)*100</f>
        <v>0</v>
      </c>
      <c r="BE20" s="15">
        <v>0</v>
      </c>
      <c r="BF20" s="15">
        <f>20</f>
        <v>20</v>
      </c>
      <c r="BH20" s="15">
        <f>F20*AO20</f>
        <v>0</v>
      </c>
      <c r="BI20" s="15">
        <f>F20*AP20</f>
        <v>0</v>
      </c>
      <c r="BJ20" s="15">
        <f>F20*G20</f>
        <v>0</v>
      </c>
      <c r="BK20" s="15"/>
      <c r="BL20" s="15">
        <v>31</v>
      </c>
      <c r="BW20" s="15">
        <v>21</v>
      </c>
    </row>
    <row r="21" spans="1:11" ht="15" customHeight="1">
      <c r="A21" s="53"/>
      <c r="C21" s="66" t="s">
        <v>198</v>
      </c>
      <c r="D21" s="18" t="s">
        <v>878</v>
      </c>
      <c r="F21" s="13">
        <v>11.88</v>
      </c>
      <c r="K21" s="32"/>
    </row>
    <row r="22" spans="1:75" ht="13.5" customHeight="1">
      <c r="A22" s="7" t="s">
        <v>724</v>
      </c>
      <c r="B22" s="11" t="s">
        <v>199</v>
      </c>
      <c r="C22" s="135" t="s">
        <v>88</v>
      </c>
      <c r="D22" s="130"/>
      <c r="E22" s="11" t="s">
        <v>807</v>
      </c>
      <c r="F22" s="15">
        <v>2.7</v>
      </c>
      <c r="G22" s="15">
        <v>0</v>
      </c>
      <c r="H22" s="15">
        <f>F22*AO22</f>
        <v>0</v>
      </c>
      <c r="I22" s="15">
        <f>F22*AP22</f>
        <v>0</v>
      </c>
      <c r="J22" s="15">
        <f>F22*G22</f>
        <v>0</v>
      </c>
      <c r="K22" s="12" t="s">
        <v>406</v>
      </c>
      <c r="Z22" s="15">
        <f>IF(AQ22="5",BJ22,0)</f>
        <v>0</v>
      </c>
      <c r="AB22" s="15">
        <f>IF(AQ22="1",BH22,0)</f>
        <v>0</v>
      </c>
      <c r="AC22" s="15">
        <f>IF(AQ22="1",BI22,0)</f>
        <v>0</v>
      </c>
      <c r="AD22" s="15">
        <f>IF(AQ22="7",BH22,0)</f>
        <v>0</v>
      </c>
      <c r="AE22" s="15">
        <f>IF(AQ22="7",BI22,0)</f>
        <v>0</v>
      </c>
      <c r="AF22" s="15">
        <f>IF(AQ22="2",BH22,0)</f>
        <v>0</v>
      </c>
      <c r="AG22" s="15">
        <f>IF(AQ22="2",BI22,0)</f>
        <v>0</v>
      </c>
      <c r="AH22" s="15">
        <f>IF(AQ22="0",BJ22,0)</f>
        <v>0</v>
      </c>
      <c r="AI22" s="52" t="s">
        <v>566</v>
      </c>
      <c r="AJ22" s="15">
        <f>IF(AN22=0,J22,0)</f>
        <v>0</v>
      </c>
      <c r="AK22" s="15">
        <f>IF(AN22=12,J22,0)</f>
        <v>0</v>
      </c>
      <c r="AL22" s="15">
        <f>IF(AN22=21,J22,0)</f>
        <v>0</v>
      </c>
      <c r="AN22" s="15">
        <v>21</v>
      </c>
      <c r="AO22" s="15">
        <f>G22*0.724533968311221</f>
        <v>0</v>
      </c>
      <c r="AP22" s="15">
        <f>G22*(1-0.724533968311221)</f>
        <v>0</v>
      </c>
      <c r="AQ22" s="1" t="s">
        <v>829</v>
      </c>
      <c r="AV22" s="15">
        <f>AW22+AX22</f>
        <v>0</v>
      </c>
      <c r="AW22" s="15">
        <f>F22*AO22</f>
        <v>0</v>
      </c>
      <c r="AX22" s="15">
        <f>F22*AP22</f>
        <v>0</v>
      </c>
      <c r="AY22" s="1" t="s">
        <v>599</v>
      </c>
      <c r="AZ22" s="1" t="s">
        <v>76</v>
      </c>
      <c r="BA22" s="52" t="s">
        <v>870</v>
      </c>
      <c r="BC22" s="15">
        <f>AW22+AX22</f>
        <v>0</v>
      </c>
      <c r="BD22" s="15">
        <f>G22/(100-BE22)*100</f>
        <v>0</v>
      </c>
      <c r="BE22" s="15">
        <v>0</v>
      </c>
      <c r="BF22" s="15">
        <f>22</f>
        <v>22</v>
      </c>
      <c r="BH22" s="15">
        <f>F22*AO22</f>
        <v>0</v>
      </c>
      <c r="BI22" s="15">
        <f>F22*AP22</f>
        <v>0</v>
      </c>
      <c r="BJ22" s="15">
        <f>F22*G22</f>
        <v>0</v>
      </c>
      <c r="BK22" s="15"/>
      <c r="BL22" s="15">
        <v>31</v>
      </c>
      <c r="BW22" s="15">
        <v>21</v>
      </c>
    </row>
    <row r="23" spans="1:11" ht="15" customHeight="1">
      <c r="A23" s="53"/>
      <c r="C23" s="66" t="s">
        <v>879</v>
      </c>
      <c r="D23" s="18" t="s">
        <v>200</v>
      </c>
      <c r="F23" s="13">
        <v>2.7</v>
      </c>
      <c r="K23" s="32"/>
    </row>
    <row r="24" spans="1:75" ht="13.5" customHeight="1">
      <c r="A24" s="7" t="s">
        <v>108</v>
      </c>
      <c r="B24" s="11" t="s">
        <v>633</v>
      </c>
      <c r="C24" s="135" t="s">
        <v>626</v>
      </c>
      <c r="D24" s="130"/>
      <c r="E24" s="11" t="s">
        <v>807</v>
      </c>
      <c r="F24" s="15">
        <v>1.43</v>
      </c>
      <c r="G24" s="15">
        <v>0</v>
      </c>
      <c r="H24" s="15">
        <f>F24*AO24</f>
        <v>0</v>
      </c>
      <c r="I24" s="15">
        <f>F24*AP24</f>
        <v>0</v>
      </c>
      <c r="J24" s="15">
        <f>F24*G24</f>
        <v>0</v>
      </c>
      <c r="K24" s="12" t="s">
        <v>406</v>
      </c>
      <c r="Z24" s="15">
        <f>IF(AQ24="5",BJ24,0)</f>
        <v>0</v>
      </c>
      <c r="AB24" s="15">
        <f>IF(AQ24="1",BH24,0)</f>
        <v>0</v>
      </c>
      <c r="AC24" s="15">
        <f>IF(AQ24="1",BI24,0)</f>
        <v>0</v>
      </c>
      <c r="AD24" s="15">
        <f>IF(AQ24="7",BH24,0)</f>
        <v>0</v>
      </c>
      <c r="AE24" s="15">
        <f>IF(AQ24="7",BI24,0)</f>
        <v>0</v>
      </c>
      <c r="AF24" s="15">
        <f>IF(AQ24="2",BH24,0)</f>
        <v>0</v>
      </c>
      <c r="AG24" s="15">
        <f>IF(AQ24="2",BI24,0)</f>
        <v>0</v>
      </c>
      <c r="AH24" s="15">
        <f>IF(AQ24="0",BJ24,0)</f>
        <v>0</v>
      </c>
      <c r="AI24" s="52" t="s">
        <v>566</v>
      </c>
      <c r="AJ24" s="15">
        <f>IF(AN24=0,J24,0)</f>
        <v>0</v>
      </c>
      <c r="AK24" s="15">
        <f>IF(AN24=12,J24,0)</f>
        <v>0</v>
      </c>
      <c r="AL24" s="15">
        <f>IF(AN24=21,J24,0)</f>
        <v>0</v>
      </c>
      <c r="AN24" s="15">
        <v>21</v>
      </c>
      <c r="AO24" s="15">
        <f>G24*0.691665152144843</f>
        <v>0</v>
      </c>
      <c r="AP24" s="15">
        <f>G24*(1-0.691665152144843)</f>
        <v>0</v>
      </c>
      <c r="AQ24" s="1" t="s">
        <v>829</v>
      </c>
      <c r="AV24" s="15">
        <f>AW24+AX24</f>
        <v>0</v>
      </c>
      <c r="AW24" s="15">
        <f>F24*AO24</f>
        <v>0</v>
      </c>
      <c r="AX24" s="15">
        <f>F24*AP24</f>
        <v>0</v>
      </c>
      <c r="AY24" s="1" t="s">
        <v>599</v>
      </c>
      <c r="AZ24" s="1" t="s">
        <v>76</v>
      </c>
      <c r="BA24" s="52" t="s">
        <v>870</v>
      </c>
      <c r="BC24" s="15">
        <f>AW24+AX24</f>
        <v>0</v>
      </c>
      <c r="BD24" s="15">
        <f>G24/(100-BE24)*100</f>
        <v>0</v>
      </c>
      <c r="BE24" s="15">
        <v>0</v>
      </c>
      <c r="BF24" s="15">
        <f>24</f>
        <v>24</v>
      </c>
      <c r="BH24" s="15">
        <f>F24*AO24</f>
        <v>0</v>
      </c>
      <c r="BI24" s="15">
        <f>F24*AP24</f>
        <v>0</v>
      </c>
      <c r="BJ24" s="15">
        <f>F24*G24</f>
        <v>0</v>
      </c>
      <c r="BK24" s="15"/>
      <c r="BL24" s="15">
        <v>31</v>
      </c>
      <c r="BW24" s="15">
        <v>21</v>
      </c>
    </row>
    <row r="25" spans="1:11" ht="13.5" customHeight="1">
      <c r="A25" s="53"/>
      <c r="C25" s="202" t="s">
        <v>50</v>
      </c>
      <c r="D25" s="211"/>
      <c r="E25" s="211"/>
      <c r="F25" s="211"/>
      <c r="G25" s="211"/>
      <c r="H25" s="211"/>
      <c r="I25" s="211"/>
      <c r="J25" s="211"/>
      <c r="K25" s="212"/>
    </row>
    <row r="26" spans="1:11" ht="15" customHeight="1">
      <c r="A26" s="53"/>
      <c r="C26" s="66" t="s">
        <v>712</v>
      </c>
      <c r="D26" s="18" t="s">
        <v>467</v>
      </c>
      <c r="F26" s="13">
        <v>1.4300000000000002</v>
      </c>
      <c r="K26" s="32"/>
    </row>
    <row r="27" spans="1:47" ht="15" customHeight="1">
      <c r="A27" s="17" t="s">
        <v>577</v>
      </c>
      <c r="B27" s="20" t="s">
        <v>118</v>
      </c>
      <c r="C27" s="201" t="s">
        <v>196</v>
      </c>
      <c r="D27" s="210"/>
      <c r="E27" s="14" t="s">
        <v>774</v>
      </c>
      <c r="F27" s="14" t="s">
        <v>774</v>
      </c>
      <c r="G27" s="14" t="s">
        <v>774</v>
      </c>
      <c r="H27" s="68">
        <f>SUM(H28:H28)</f>
        <v>0</v>
      </c>
      <c r="I27" s="68">
        <f>SUM(I28:I28)</f>
        <v>0</v>
      </c>
      <c r="J27" s="68">
        <f>SUM(J28:J28)</f>
        <v>0</v>
      </c>
      <c r="K27" s="42" t="s">
        <v>577</v>
      </c>
      <c r="AI27" s="52" t="s">
        <v>566</v>
      </c>
      <c r="AS27" s="68">
        <f>SUM(AJ28:AJ28)</f>
        <v>0</v>
      </c>
      <c r="AT27" s="68">
        <f>SUM(AK28:AK28)</f>
        <v>0</v>
      </c>
      <c r="AU27" s="68">
        <f>SUM(AL28:AL28)</f>
        <v>0</v>
      </c>
    </row>
    <row r="28" spans="1:75" ht="13.5" customHeight="1">
      <c r="A28" s="7" t="s">
        <v>461</v>
      </c>
      <c r="B28" s="11" t="s">
        <v>801</v>
      </c>
      <c r="C28" s="135" t="s">
        <v>777</v>
      </c>
      <c r="D28" s="130"/>
      <c r="E28" s="11" t="s">
        <v>819</v>
      </c>
      <c r="F28" s="15">
        <v>585.8</v>
      </c>
      <c r="G28" s="15">
        <v>0</v>
      </c>
      <c r="H28" s="15">
        <f>F28*AO28</f>
        <v>0</v>
      </c>
      <c r="I28" s="15">
        <f>F28*AP28</f>
        <v>0</v>
      </c>
      <c r="J28" s="15">
        <f>F28*G28</f>
        <v>0</v>
      </c>
      <c r="K28" s="12" t="s">
        <v>406</v>
      </c>
      <c r="Z28" s="15">
        <f>IF(AQ28="5",BJ28,0)</f>
        <v>0</v>
      </c>
      <c r="AB28" s="15">
        <f>IF(AQ28="1",BH28,0)</f>
        <v>0</v>
      </c>
      <c r="AC28" s="15">
        <f>IF(AQ28="1",BI28,0)</f>
        <v>0</v>
      </c>
      <c r="AD28" s="15">
        <f>IF(AQ28="7",BH28,0)</f>
        <v>0</v>
      </c>
      <c r="AE28" s="15">
        <f>IF(AQ28="7",BI28,0)</f>
        <v>0</v>
      </c>
      <c r="AF28" s="15">
        <f>IF(AQ28="2",BH28,0)</f>
        <v>0</v>
      </c>
      <c r="AG28" s="15">
        <f>IF(AQ28="2",BI28,0)</f>
        <v>0</v>
      </c>
      <c r="AH28" s="15">
        <f>IF(AQ28="0",BJ28,0)</f>
        <v>0</v>
      </c>
      <c r="AI28" s="52" t="s">
        <v>566</v>
      </c>
      <c r="AJ28" s="15">
        <f>IF(AN28=0,J28,0)</f>
        <v>0</v>
      </c>
      <c r="AK28" s="15">
        <f>IF(AN28=12,J28,0)</f>
        <v>0</v>
      </c>
      <c r="AL28" s="15">
        <f>IF(AN28=21,J28,0)</f>
        <v>0</v>
      </c>
      <c r="AN28" s="15">
        <v>21</v>
      </c>
      <c r="AO28" s="15">
        <f>G28*0.456604225300704</f>
        <v>0</v>
      </c>
      <c r="AP28" s="15">
        <f>G28*(1-0.456604225300704)</f>
        <v>0</v>
      </c>
      <c r="AQ28" s="1" t="s">
        <v>829</v>
      </c>
      <c r="AV28" s="15">
        <f>AW28+AX28</f>
        <v>0</v>
      </c>
      <c r="AW28" s="15">
        <f>F28*AO28</f>
        <v>0</v>
      </c>
      <c r="AX28" s="15">
        <f>F28*AP28</f>
        <v>0</v>
      </c>
      <c r="AY28" s="1" t="s">
        <v>711</v>
      </c>
      <c r="AZ28" s="1" t="s">
        <v>332</v>
      </c>
      <c r="BA28" s="52" t="s">
        <v>870</v>
      </c>
      <c r="BC28" s="15">
        <f>AW28+AX28</f>
        <v>0</v>
      </c>
      <c r="BD28" s="15">
        <f>G28/(100-BE28)*100</f>
        <v>0</v>
      </c>
      <c r="BE28" s="15">
        <v>0</v>
      </c>
      <c r="BF28" s="15">
        <f>28</f>
        <v>28</v>
      </c>
      <c r="BH28" s="15">
        <f>F28*AO28</f>
        <v>0</v>
      </c>
      <c r="BI28" s="15">
        <f>F28*AP28</f>
        <v>0</v>
      </c>
      <c r="BJ28" s="15">
        <f>F28*G28</f>
        <v>0</v>
      </c>
      <c r="BK28" s="15"/>
      <c r="BL28" s="15">
        <v>60</v>
      </c>
      <c r="BW28" s="15">
        <v>21</v>
      </c>
    </row>
    <row r="29" spans="1:11" ht="15" customHeight="1">
      <c r="A29" s="53"/>
      <c r="C29" s="66" t="s">
        <v>775</v>
      </c>
      <c r="D29" s="18" t="s">
        <v>809</v>
      </c>
      <c r="F29" s="13">
        <v>585.8000000000001</v>
      </c>
      <c r="K29" s="32"/>
    </row>
    <row r="30" spans="1:47" ht="15" customHeight="1">
      <c r="A30" s="17" t="s">
        <v>577</v>
      </c>
      <c r="B30" s="20" t="s">
        <v>602</v>
      </c>
      <c r="C30" s="201" t="s">
        <v>597</v>
      </c>
      <c r="D30" s="210"/>
      <c r="E30" s="14" t="s">
        <v>774</v>
      </c>
      <c r="F30" s="14" t="s">
        <v>774</v>
      </c>
      <c r="G30" s="14" t="s">
        <v>774</v>
      </c>
      <c r="H30" s="68">
        <f>SUM(H31:H35)</f>
        <v>0</v>
      </c>
      <c r="I30" s="68">
        <f>SUM(I31:I35)</f>
        <v>0</v>
      </c>
      <c r="J30" s="68">
        <f>SUM(J31:J35)</f>
        <v>0</v>
      </c>
      <c r="K30" s="42" t="s">
        <v>577</v>
      </c>
      <c r="AI30" s="52" t="s">
        <v>566</v>
      </c>
      <c r="AS30" s="68">
        <f>SUM(AJ31:AJ35)</f>
        <v>0</v>
      </c>
      <c r="AT30" s="68">
        <f>SUM(AK31:AK35)</f>
        <v>0</v>
      </c>
      <c r="AU30" s="68">
        <f>SUM(AL31:AL35)</f>
        <v>0</v>
      </c>
    </row>
    <row r="31" spans="1:75" ht="27" customHeight="1">
      <c r="A31" s="7" t="s">
        <v>154</v>
      </c>
      <c r="B31" s="11" t="s">
        <v>367</v>
      </c>
      <c r="C31" s="135" t="s">
        <v>267</v>
      </c>
      <c r="D31" s="130"/>
      <c r="E31" s="11" t="s">
        <v>819</v>
      </c>
      <c r="F31" s="15">
        <v>50</v>
      </c>
      <c r="G31" s="15">
        <v>0</v>
      </c>
      <c r="H31" s="15">
        <f>F31*AO31</f>
        <v>0</v>
      </c>
      <c r="I31" s="15">
        <f>F31*AP31</f>
        <v>0</v>
      </c>
      <c r="J31" s="15">
        <f>F31*G31</f>
        <v>0</v>
      </c>
      <c r="K31" s="12" t="s">
        <v>577</v>
      </c>
      <c r="Z31" s="15">
        <f>IF(AQ31="5",BJ31,0)</f>
        <v>0</v>
      </c>
      <c r="AB31" s="15">
        <f>IF(AQ31="1",BH31,0)</f>
        <v>0</v>
      </c>
      <c r="AC31" s="15">
        <f>IF(AQ31="1",BI31,0)</f>
        <v>0</v>
      </c>
      <c r="AD31" s="15">
        <f>IF(AQ31="7",BH31,0)</f>
        <v>0</v>
      </c>
      <c r="AE31" s="15">
        <f>IF(AQ31="7",BI31,0)</f>
        <v>0</v>
      </c>
      <c r="AF31" s="15">
        <f>IF(AQ31="2",BH31,0)</f>
        <v>0</v>
      </c>
      <c r="AG31" s="15">
        <f>IF(AQ31="2",BI31,0)</f>
        <v>0</v>
      </c>
      <c r="AH31" s="15">
        <f>IF(AQ31="0",BJ31,0)</f>
        <v>0</v>
      </c>
      <c r="AI31" s="52" t="s">
        <v>566</v>
      </c>
      <c r="AJ31" s="15">
        <f>IF(AN31=0,J31,0)</f>
        <v>0</v>
      </c>
      <c r="AK31" s="15">
        <f>IF(AN31=12,J31,0)</f>
        <v>0</v>
      </c>
      <c r="AL31" s="15">
        <f>IF(AN31=21,J31,0)</f>
        <v>0</v>
      </c>
      <c r="AN31" s="15">
        <v>21</v>
      </c>
      <c r="AO31" s="15">
        <f>G31*0</f>
        <v>0</v>
      </c>
      <c r="AP31" s="15">
        <f>G31*(1-0)</f>
        <v>0</v>
      </c>
      <c r="AQ31" s="1" t="s">
        <v>829</v>
      </c>
      <c r="AV31" s="15">
        <f>AW31+AX31</f>
        <v>0</v>
      </c>
      <c r="AW31" s="15">
        <f>F31*AO31</f>
        <v>0</v>
      </c>
      <c r="AX31" s="15">
        <f>F31*AP31</f>
        <v>0</v>
      </c>
      <c r="AY31" s="1" t="s">
        <v>529</v>
      </c>
      <c r="AZ31" s="1" t="s">
        <v>332</v>
      </c>
      <c r="BA31" s="52" t="s">
        <v>870</v>
      </c>
      <c r="BC31" s="15">
        <f>AW31+AX31</f>
        <v>0</v>
      </c>
      <c r="BD31" s="15">
        <f>G31/(100-BE31)*100</f>
        <v>0</v>
      </c>
      <c r="BE31" s="15">
        <v>0</v>
      </c>
      <c r="BF31" s="15">
        <f>31</f>
        <v>31</v>
      </c>
      <c r="BH31" s="15">
        <f>F31*AO31</f>
        <v>0</v>
      </c>
      <c r="BI31" s="15">
        <f>F31*AP31</f>
        <v>0</v>
      </c>
      <c r="BJ31" s="15">
        <f>F31*G31</f>
        <v>0</v>
      </c>
      <c r="BK31" s="15"/>
      <c r="BL31" s="15">
        <v>61</v>
      </c>
      <c r="BW31" s="15">
        <v>21</v>
      </c>
    </row>
    <row r="32" spans="1:11" ht="13.5" customHeight="1">
      <c r="A32" s="53"/>
      <c r="C32" s="202" t="s">
        <v>918</v>
      </c>
      <c r="D32" s="211"/>
      <c r="E32" s="211"/>
      <c r="F32" s="211"/>
      <c r="G32" s="211"/>
      <c r="H32" s="211"/>
      <c r="I32" s="211"/>
      <c r="J32" s="211"/>
      <c r="K32" s="212"/>
    </row>
    <row r="33" spans="1:11" ht="15" customHeight="1">
      <c r="A33" s="53"/>
      <c r="C33" s="66" t="s">
        <v>924</v>
      </c>
      <c r="D33" s="18" t="s">
        <v>577</v>
      </c>
      <c r="F33" s="13">
        <v>0</v>
      </c>
      <c r="K33" s="32"/>
    </row>
    <row r="34" spans="1:11" ht="15" customHeight="1">
      <c r="A34" s="53"/>
      <c r="C34" s="66" t="s">
        <v>693</v>
      </c>
      <c r="D34" s="18" t="s">
        <v>867</v>
      </c>
      <c r="F34" s="13">
        <v>50.00000000000001</v>
      </c>
      <c r="K34" s="32"/>
    </row>
    <row r="35" spans="1:75" ht="13.5" customHeight="1">
      <c r="A35" s="7" t="s">
        <v>831</v>
      </c>
      <c r="B35" s="11" t="s">
        <v>188</v>
      </c>
      <c r="C35" s="135" t="s">
        <v>10</v>
      </c>
      <c r="D35" s="130"/>
      <c r="E35" s="11" t="s">
        <v>819</v>
      </c>
      <c r="F35" s="15">
        <v>150</v>
      </c>
      <c r="G35" s="15">
        <v>0</v>
      </c>
      <c r="H35" s="15">
        <f>F35*AO35</f>
        <v>0</v>
      </c>
      <c r="I35" s="15">
        <f>F35*AP35</f>
        <v>0</v>
      </c>
      <c r="J35" s="15">
        <f>F35*G35</f>
        <v>0</v>
      </c>
      <c r="K35" s="12" t="s">
        <v>406</v>
      </c>
      <c r="Z35" s="15">
        <f>IF(AQ35="5",BJ35,0)</f>
        <v>0</v>
      </c>
      <c r="AB35" s="15">
        <f>IF(AQ35="1",BH35,0)</f>
        <v>0</v>
      </c>
      <c r="AC35" s="15">
        <f>IF(AQ35="1",BI35,0)</f>
        <v>0</v>
      </c>
      <c r="AD35" s="15">
        <f>IF(AQ35="7",BH35,0)</f>
        <v>0</v>
      </c>
      <c r="AE35" s="15">
        <f>IF(AQ35="7",BI35,0)</f>
        <v>0</v>
      </c>
      <c r="AF35" s="15">
        <f>IF(AQ35="2",BH35,0)</f>
        <v>0</v>
      </c>
      <c r="AG35" s="15">
        <f>IF(AQ35="2",BI35,0)</f>
        <v>0</v>
      </c>
      <c r="AH35" s="15">
        <f>IF(AQ35="0",BJ35,0)</f>
        <v>0</v>
      </c>
      <c r="AI35" s="52" t="s">
        <v>566</v>
      </c>
      <c r="AJ35" s="15">
        <f>IF(AN35=0,J35,0)</f>
        <v>0</v>
      </c>
      <c r="AK35" s="15">
        <f>IF(AN35=12,J35,0)</f>
        <v>0</v>
      </c>
      <c r="AL35" s="15">
        <f>IF(AN35=21,J35,0)</f>
        <v>0</v>
      </c>
      <c r="AN35" s="15">
        <v>21</v>
      </c>
      <c r="AO35" s="15">
        <f>G35*0.125110459978606</f>
        <v>0</v>
      </c>
      <c r="AP35" s="15">
        <f>G35*(1-0.125110459978606)</f>
        <v>0</v>
      </c>
      <c r="AQ35" s="1" t="s">
        <v>829</v>
      </c>
      <c r="AV35" s="15">
        <f>AW35+AX35</f>
        <v>0</v>
      </c>
      <c r="AW35" s="15">
        <f>F35*AO35</f>
        <v>0</v>
      </c>
      <c r="AX35" s="15">
        <f>F35*AP35</f>
        <v>0</v>
      </c>
      <c r="AY35" s="1" t="s">
        <v>529</v>
      </c>
      <c r="AZ35" s="1" t="s">
        <v>332</v>
      </c>
      <c r="BA35" s="52" t="s">
        <v>870</v>
      </c>
      <c r="BC35" s="15">
        <f>AW35+AX35</f>
        <v>0</v>
      </c>
      <c r="BD35" s="15">
        <f>G35/(100-BE35)*100</f>
        <v>0</v>
      </c>
      <c r="BE35" s="15">
        <v>0</v>
      </c>
      <c r="BF35" s="15">
        <f>35</f>
        <v>35</v>
      </c>
      <c r="BH35" s="15">
        <f>F35*AO35</f>
        <v>0</v>
      </c>
      <c r="BI35" s="15">
        <f>F35*AP35</f>
        <v>0</v>
      </c>
      <c r="BJ35" s="15">
        <f>F35*G35</f>
        <v>0</v>
      </c>
      <c r="BK35" s="15"/>
      <c r="BL35" s="15">
        <v>61</v>
      </c>
      <c r="BW35" s="15">
        <v>21</v>
      </c>
    </row>
    <row r="36" spans="1:11" ht="13.5" customHeight="1">
      <c r="A36" s="53"/>
      <c r="C36" s="202" t="s">
        <v>377</v>
      </c>
      <c r="D36" s="211"/>
      <c r="E36" s="211"/>
      <c r="F36" s="211"/>
      <c r="G36" s="211"/>
      <c r="H36" s="211"/>
      <c r="I36" s="211"/>
      <c r="J36" s="211"/>
      <c r="K36" s="212"/>
    </row>
    <row r="37" spans="1:11" ht="15" customHeight="1">
      <c r="A37" s="53"/>
      <c r="C37" s="66" t="s">
        <v>375</v>
      </c>
      <c r="D37" s="18" t="s">
        <v>723</v>
      </c>
      <c r="F37" s="13">
        <v>150</v>
      </c>
      <c r="K37" s="32"/>
    </row>
    <row r="38" spans="1:47" ht="15" customHeight="1">
      <c r="A38" s="17" t="s">
        <v>577</v>
      </c>
      <c r="B38" s="20" t="s">
        <v>922</v>
      </c>
      <c r="C38" s="201" t="s">
        <v>690</v>
      </c>
      <c r="D38" s="210"/>
      <c r="E38" s="14" t="s">
        <v>774</v>
      </c>
      <c r="F38" s="14" t="s">
        <v>774</v>
      </c>
      <c r="G38" s="14" t="s">
        <v>774</v>
      </c>
      <c r="H38" s="68">
        <f>SUM(H39:H56)</f>
        <v>0</v>
      </c>
      <c r="I38" s="68">
        <f>SUM(I39:I56)</f>
        <v>0</v>
      </c>
      <c r="J38" s="68">
        <f>SUM(J39:J56)</f>
        <v>0</v>
      </c>
      <c r="K38" s="42" t="s">
        <v>577</v>
      </c>
      <c r="AI38" s="52" t="s">
        <v>566</v>
      </c>
      <c r="AS38" s="68">
        <f>SUM(AJ39:AJ56)</f>
        <v>0</v>
      </c>
      <c r="AT38" s="68">
        <f>SUM(AK39:AK56)</f>
        <v>0</v>
      </c>
      <c r="AU38" s="68">
        <f>SUM(AL39:AL56)</f>
        <v>0</v>
      </c>
    </row>
    <row r="39" spans="1:75" ht="27" customHeight="1">
      <c r="A39" s="7" t="s">
        <v>666</v>
      </c>
      <c r="B39" s="11" t="s">
        <v>936</v>
      </c>
      <c r="C39" s="135" t="s">
        <v>869</v>
      </c>
      <c r="D39" s="130"/>
      <c r="E39" s="11" t="s">
        <v>695</v>
      </c>
      <c r="F39" s="15">
        <v>25</v>
      </c>
      <c r="G39" s="15">
        <v>0</v>
      </c>
      <c r="H39" s="15">
        <f>F39*AO39</f>
        <v>0</v>
      </c>
      <c r="I39" s="15">
        <f>F39*AP39</f>
        <v>0</v>
      </c>
      <c r="J39" s="15">
        <f>F39*G39</f>
        <v>0</v>
      </c>
      <c r="K39" s="12" t="s">
        <v>577</v>
      </c>
      <c r="Z39" s="15">
        <f>IF(AQ39="5",BJ39,0)</f>
        <v>0</v>
      </c>
      <c r="AB39" s="15">
        <f>IF(AQ39="1",BH39,0)</f>
        <v>0</v>
      </c>
      <c r="AC39" s="15">
        <f>IF(AQ39="1",BI39,0)</f>
        <v>0</v>
      </c>
      <c r="AD39" s="15">
        <f>IF(AQ39="7",BH39,0)</f>
        <v>0</v>
      </c>
      <c r="AE39" s="15">
        <f>IF(AQ39="7",BI39,0)</f>
        <v>0</v>
      </c>
      <c r="AF39" s="15">
        <f>IF(AQ39="2",BH39,0)</f>
        <v>0</v>
      </c>
      <c r="AG39" s="15">
        <f>IF(AQ39="2",BI39,0)</f>
        <v>0</v>
      </c>
      <c r="AH39" s="15">
        <f>IF(AQ39="0",BJ39,0)</f>
        <v>0</v>
      </c>
      <c r="AI39" s="52" t="s">
        <v>566</v>
      </c>
      <c r="AJ39" s="15">
        <f>IF(AN39=0,J39,0)</f>
        <v>0</v>
      </c>
      <c r="AK39" s="15">
        <f>IF(AN39=12,J39,0)</f>
        <v>0</v>
      </c>
      <c r="AL39" s="15">
        <f>IF(AN39=21,J39,0)</f>
        <v>0</v>
      </c>
      <c r="AN39" s="15">
        <v>21</v>
      </c>
      <c r="AO39" s="15">
        <f>G39*0</f>
        <v>0</v>
      </c>
      <c r="AP39" s="15">
        <f>G39*(1-0)</f>
        <v>0</v>
      </c>
      <c r="AQ39" s="1" t="s">
        <v>829</v>
      </c>
      <c r="AV39" s="15">
        <f>AW39+AX39</f>
        <v>0</v>
      </c>
      <c r="AW39" s="15">
        <f>F39*AO39</f>
        <v>0</v>
      </c>
      <c r="AX39" s="15">
        <f>F39*AP39</f>
        <v>0</v>
      </c>
      <c r="AY39" s="1" t="s">
        <v>400</v>
      </c>
      <c r="AZ39" s="1" t="s">
        <v>332</v>
      </c>
      <c r="BA39" s="52" t="s">
        <v>870</v>
      </c>
      <c r="BC39" s="15">
        <f>AW39+AX39</f>
        <v>0</v>
      </c>
      <c r="BD39" s="15">
        <f>G39/(100-BE39)*100</f>
        <v>0</v>
      </c>
      <c r="BE39" s="15">
        <v>0</v>
      </c>
      <c r="BF39" s="15">
        <f>39</f>
        <v>39</v>
      </c>
      <c r="BH39" s="15">
        <f>F39*AO39</f>
        <v>0</v>
      </c>
      <c r="BI39" s="15">
        <f>F39*AP39</f>
        <v>0</v>
      </c>
      <c r="BJ39" s="15">
        <f>F39*G39</f>
        <v>0</v>
      </c>
      <c r="BK39" s="15"/>
      <c r="BL39" s="15">
        <v>62</v>
      </c>
      <c r="BW39" s="15">
        <v>21</v>
      </c>
    </row>
    <row r="40" spans="1:11" ht="15" customHeight="1">
      <c r="A40" s="53"/>
      <c r="C40" s="66" t="s">
        <v>223</v>
      </c>
      <c r="D40" s="18" t="s">
        <v>577</v>
      </c>
      <c r="F40" s="13">
        <v>25.000000000000004</v>
      </c>
      <c r="K40" s="32"/>
    </row>
    <row r="41" spans="1:75" ht="13.5" customHeight="1">
      <c r="A41" s="7" t="s">
        <v>348</v>
      </c>
      <c r="B41" s="11" t="s">
        <v>882</v>
      </c>
      <c r="C41" s="135" t="s">
        <v>470</v>
      </c>
      <c r="D41" s="130"/>
      <c r="E41" s="11" t="s">
        <v>321</v>
      </c>
      <c r="F41" s="15">
        <v>1</v>
      </c>
      <c r="G41" s="15">
        <v>0</v>
      </c>
      <c r="H41" s="15">
        <f>F41*AO41</f>
        <v>0</v>
      </c>
      <c r="I41" s="15">
        <f>F41*AP41</f>
        <v>0</v>
      </c>
      <c r="J41" s="15">
        <f>F41*G41</f>
        <v>0</v>
      </c>
      <c r="K41" s="12" t="s">
        <v>577</v>
      </c>
      <c r="Z41" s="15">
        <f>IF(AQ41="5",BJ41,0)</f>
        <v>0</v>
      </c>
      <c r="AB41" s="15">
        <f>IF(AQ41="1",BH41,0)</f>
        <v>0</v>
      </c>
      <c r="AC41" s="15">
        <f>IF(AQ41="1",BI41,0)</f>
        <v>0</v>
      </c>
      <c r="AD41" s="15">
        <f>IF(AQ41="7",BH41,0)</f>
        <v>0</v>
      </c>
      <c r="AE41" s="15">
        <f>IF(AQ41="7",BI41,0)</f>
        <v>0</v>
      </c>
      <c r="AF41" s="15">
        <f>IF(AQ41="2",BH41,0)</f>
        <v>0</v>
      </c>
      <c r="AG41" s="15">
        <f>IF(AQ41="2",BI41,0)</f>
        <v>0</v>
      </c>
      <c r="AH41" s="15">
        <f>IF(AQ41="0",BJ41,0)</f>
        <v>0</v>
      </c>
      <c r="AI41" s="52" t="s">
        <v>566</v>
      </c>
      <c r="AJ41" s="15">
        <f>IF(AN41=0,J41,0)</f>
        <v>0</v>
      </c>
      <c r="AK41" s="15">
        <f>IF(AN41=12,J41,0)</f>
        <v>0</v>
      </c>
      <c r="AL41" s="15">
        <f>IF(AN41=21,J41,0)</f>
        <v>0</v>
      </c>
      <c r="AN41" s="15">
        <v>21</v>
      </c>
      <c r="AO41" s="15">
        <f>G41*0</f>
        <v>0</v>
      </c>
      <c r="AP41" s="15">
        <f>G41*(1-0)</f>
        <v>0</v>
      </c>
      <c r="AQ41" s="1" t="s">
        <v>829</v>
      </c>
      <c r="AV41" s="15">
        <f>AW41+AX41</f>
        <v>0</v>
      </c>
      <c r="AW41" s="15">
        <f>F41*AO41</f>
        <v>0</v>
      </c>
      <c r="AX41" s="15">
        <f>F41*AP41</f>
        <v>0</v>
      </c>
      <c r="AY41" s="1" t="s">
        <v>400</v>
      </c>
      <c r="AZ41" s="1" t="s">
        <v>332</v>
      </c>
      <c r="BA41" s="52" t="s">
        <v>870</v>
      </c>
      <c r="BC41" s="15">
        <f>AW41+AX41</f>
        <v>0</v>
      </c>
      <c r="BD41" s="15">
        <f>G41/(100-BE41)*100</f>
        <v>0</v>
      </c>
      <c r="BE41" s="15">
        <v>0</v>
      </c>
      <c r="BF41" s="15">
        <f>41</f>
        <v>41</v>
      </c>
      <c r="BH41" s="15">
        <f>F41*AO41</f>
        <v>0</v>
      </c>
      <c r="BI41" s="15">
        <f>F41*AP41</f>
        <v>0</v>
      </c>
      <c r="BJ41" s="15">
        <f>F41*G41</f>
        <v>0</v>
      </c>
      <c r="BK41" s="15"/>
      <c r="BL41" s="15">
        <v>62</v>
      </c>
      <c r="BW41" s="15">
        <v>21</v>
      </c>
    </row>
    <row r="42" spans="1:11" ht="13.5" customHeight="1">
      <c r="A42" s="53"/>
      <c r="C42" s="202" t="s">
        <v>35</v>
      </c>
      <c r="D42" s="211"/>
      <c r="E42" s="211"/>
      <c r="F42" s="211"/>
      <c r="G42" s="211"/>
      <c r="H42" s="211"/>
      <c r="I42" s="211"/>
      <c r="J42" s="211"/>
      <c r="K42" s="212"/>
    </row>
    <row r="43" spans="1:11" ht="15" customHeight="1">
      <c r="A43" s="53"/>
      <c r="C43" s="66" t="s">
        <v>829</v>
      </c>
      <c r="D43" s="18" t="s">
        <v>577</v>
      </c>
      <c r="F43" s="13">
        <v>1</v>
      </c>
      <c r="K43" s="32"/>
    </row>
    <row r="44" spans="1:75" ht="13.5" customHeight="1">
      <c r="A44" s="7" t="s">
        <v>493</v>
      </c>
      <c r="B44" s="11" t="s">
        <v>538</v>
      </c>
      <c r="C44" s="135" t="s">
        <v>873</v>
      </c>
      <c r="D44" s="130"/>
      <c r="E44" s="11" t="s">
        <v>819</v>
      </c>
      <c r="F44" s="15">
        <v>585.8</v>
      </c>
      <c r="G44" s="15">
        <v>0</v>
      </c>
      <c r="H44" s="15">
        <f>F44*AO44</f>
        <v>0</v>
      </c>
      <c r="I44" s="15">
        <f>F44*AP44</f>
        <v>0</v>
      </c>
      <c r="J44" s="15">
        <f>F44*G44</f>
        <v>0</v>
      </c>
      <c r="K44" s="12" t="s">
        <v>406</v>
      </c>
      <c r="Z44" s="15">
        <f>IF(AQ44="5",BJ44,0)</f>
        <v>0</v>
      </c>
      <c r="AB44" s="15">
        <f>IF(AQ44="1",BH44,0)</f>
        <v>0</v>
      </c>
      <c r="AC44" s="15">
        <f>IF(AQ44="1",BI44,0)</f>
        <v>0</v>
      </c>
      <c r="AD44" s="15">
        <f>IF(AQ44="7",BH44,0)</f>
        <v>0</v>
      </c>
      <c r="AE44" s="15">
        <f>IF(AQ44="7",BI44,0)</f>
        <v>0</v>
      </c>
      <c r="AF44" s="15">
        <f>IF(AQ44="2",BH44,0)</f>
        <v>0</v>
      </c>
      <c r="AG44" s="15">
        <f>IF(AQ44="2",BI44,0)</f>
        <v>0</v>
      </c>
      <c r="AH44" s="15">
        <f>IF(AQ44="0",BJ44,0)</f>
        <v>0</v>
      </c>
      <c r="AI44" s="52" t="s">
        <v>566</v>
      </c>
      <c r="AJ44" s="15">
        <f>IF(AN44=0,J44,0)</f>
        <v>0</v>
      </c>
      <c r="AK44" s="15">
        <f>IF(AN44=12,J44,0)</f>
        <v>0</v>
      </c>
      <c r="AL44" s="15">
        <f>IF(AN44=21,J44,0)</f>
        <v>0</v>
      </c>
      <c r="AN44" s="15">
        <v>21</v>
      </c>
      <c r="AO44" s="15">
        <f>G44*0.212484662576687</f>
        <v>0</v>
      </c>
      <c r="AP44" s="15">
        <f>G44*(1-0.212484662576687)</f>
        <v>0</v>
      </c>
      <c r="AQ44" s="1" t="s">
        <v>829</v>
      </c>
      <c r="AV44" s="15">
        <f>AW44+AX44</f>
        <v>0</v>
      </c>
      <c r="AW44" s="15">
        <f>F44*AO44</f>
        <v>0</v>
      </c>
      <c r="AX44" s="15">
        <f>F44*AP44</f>
        <v>0</v>
      </c>
      <c r="AY44" s="1" t="s">
        <v>400</v>
      </c>
      <c r="AZ44" s="1" t="s">
        <v>332</v>
      </c>
      <c r="BA44" s="52" t="s">
        <v>870</v>
      </c>
      <c r="BC44" s="15">
        <f>AW44+AX44</f>
        <v>0</v>
      </c>
      <c r="BD44" s="15">
        <f>G44/(100-BE44)*100</f>
        <v>0</v>
      </c>
      <c r="BE44" s="15">
        <v>0</v>
      </c>
      <c r="BF44" s="15">
        <f>44</f>
        <v>44</v>
      </c>
      <c r="BH44" s="15">
        <f>F44*AO44</f>
        <v>0</v>
      </c>
      <c r="BI44" s="15">
        <f>F44*AP44</f>
        <v>0</v>
      </c>
      <c r="BJ44" s="15">
        <f>F44*G44</f>
        <v>0</v>
      </c>
      <c r="BK44" s="15"/>
      <c r="BL44" s="15">
        <v>62</v>
      </c>
      <c r="BW44" s="15">
        <v>21</v>
      </c>
    </row>
    <row r="45" spans="1:11" ht="15" customHeight="1">
      <c r="A45" s="53"/>
      <c r="C45" s="66" t="s">
        <v>736</v>
      </c>
      <c r="D45" s="18" t="s">
        <v>809</v>
      </c>
      <c r="F45" s="13">
        <v>585.8000000000001</v>
      </c>
      <c r="K45" s="32"/>
    </row>
    <row r="46" spans="1:11" ht="15" customHeight="1">
      <c r="A46" s="53"/>
      <c r="C46" s="66" t="s">
        <v>577</v>
      </c>
      <c r="D46" s="18" t="s">
        <v>279</v>
      </c>
      <c r="F46" s="13">
        <v>0</v>
      </c>
      <c r="K46" s="32"/>
    </row>
    <row r="47" spans="1:75" ht="13.5" customHeight="1">
      <c r="A47" s="7" t="s">
        <v>700</v>
      </c>
      <c r="B47" s="11" t="s">
        <v>26</v>
      </c>
      <c r="C47" s="135" t="s">
        <v>687</v>
      </c>
      <c r="D47" s="130"/>
      <c r="E47" s="11" t="s">
        <v>819</v>
      </c>
      <c r="F47" s="15">
        <v>23.75</v>
      </c>
      <c r="G47" s="15">
        <v>0</v>
      </c>
      <c r="H47" s="15">
        <f>F47*AO47</f>
        <v>0</v>
      </c>
      <c r="I47" s="15">
        <f>F47*AP47</f>
        <v>0</v>
      </c>
      <c r="J47" s="15">
        <f>F47*G47</f>
        <v>0</v>
      </c>
      <c r="K47" s="12" t="s">
        <v>406</v>
      </c>
      <c r="Z47" s="15">
        <f>IF(AQ47="5",BJ47,0)</f>
        <v>0</v>
      </c>
      <c r="AB47" s="15">
        <f>IF(AQ47="1",BH47,0)</f>
        <v>0</v>
      </c>
      <c r="AC47" s="15">
        <f>IF(AQ47="1",BI47,0)</f>
        <v>0</v>
      </c>
      <c r="AD47" s="15">
        <f>IF(AQ47="7",BH47,0)</f>
        <v>0</v>
      </c>
      <c r="AE47" s="15">
        <f>IF(AQ47="7",BI47,0)</f>
        <v>0</v>
      </c>
      <c r="AF47" s="15">
        <f>IF(AQ47="2",BH47,0)</f>
        <v>0</v>
      </c>
      <c r="AG47" s="15">
        <f>IF(AQ47="2",BI47,0)</f>
        <v>0</v>
      </c>
      <c r="AH47" s="15">
        <f>IF(AQ47="0",BJ47,0)</f>
        <v>0</v>
      </c>
      <c r="AI47" s="52" t="s">
        <v>566</v>
      </c>
      <c r="AJ47" s="15">
        <f>IF(AN47=0,J47,0)</f>
        <v>0</v>
      </c>
      <c r="AK47" s="15">
        <f>IF(AN47=12,J47,0)</f>
        <v>0</v>
      </c>
      <c r="AL47" s="15">
        <f>IF(AN47=21,J47,0)</f>
        <v>0</v>
      </c>
      <c r="AN47" s="15">
        <v>21</v>
      </c>
      <c r="AO47" s="15">
        <f>G47*0.226441680801017</f>
        <v>0</v>
      </c>
      <c r="AP47" s="15">
        <f>G47*(1-0.226441680801017)</f>
        <v>0</v>
      </c>
      <c r="AQ47" s="1" t="s">
        <v>829</v>
      </c>
      <c r="AV47" s="15">
        <f>AW47+AX47</f>
        <v>0</v>
      </c>
      <c r="AW47" s="15">
        <f>F47*AO47</f>
        <v>0</v>
      </c>
      <c r="AX47" s="15">
        <f>F47*AP47</f>
        <v>0</v>
      </c>
      <c r="AY47" s="1" t="s">
        <v>400</v>
      </c>
      <c r="AZ47" s="1" t="s">
        <v>332</v>
      </c>
      <c r="BA47" s="52" t="s">
        <v>870</v>
      </c>
      <c r="BC47" s="15">
        <f>AW47+AX47</f>
        <v>0</v>
      </c>
      <c r="BD47" s="15">
        <f>G47/(100-BE47)*100</f>
        <v>0</v>
      </c>
      <c r="BE47" s="15">
        <v>0</v>
      </c>
      <c r="BF47" s="15">
        <f>47</f>
        <v>47</v>
      </c>
      <c r="BH47" s="15">
        <f>F47*AO47</f>
        <v>0</v>
      </c>
      <c r="BI47" s="15">
        <f>F47*AP47</f>
        <v>0</v>
      </c>
      <c r="BJ47" s="15">
        <f>F47*G47</f>
        <v>0</v>
      </c>
      <c r="BK47" s="15"/>
      <c r="BL47" s="15">
        <v>62</v>
      </c>
      <c r="BW47" s="15">
        <v>21</v>
      </c>
    </row>
    <row r="48" spans="1:11" ht="15" customHeight="1">
      <c r="A48" s="53"/>
      <c r="C48" s="66" t="s">
        <v>350</v>
      </c>
      <c r="D48" s="18" t="s">
        <v>694</v>
      </c>
      <c r="F48" s="13">
        <v>23.750000000000004</v>
      </c>
      <c r="K48" s="32"/>
    </row>
    <row r="49" spans="1:11" ht="15" customHeight="1">
      <c r="A49" s="53"/>
      <c r="C49" s="66" t="s">
        <v>577</v>
      </c>
      <c r="D49" s="18" t="s">
        <v>618</v>
      </c>
      <c r="F49" s="13">
        <v>0</v>
      </c>
      <c r="K49" s="32"/>
    </row>
    <row r="50" spans="1:75" ht="13.5" customHeight="1">
      <c r="A50" s="7" t="s">
        <v>613</v>
      </c>
      <c r="B50" s="11" t="s">
        <v>482</v>
      </c>
      <c r="C50" s="135" t="s">
        <v>638</v>
      </c>
      <c r="D50" s="130"/>
      <c r="E50" s="11" t="s">
        <v>819</v>
      </c>
      <c r="F50" s="15">
        <v>2.7</v>
      </c>
      <c r="G50" s="15">
        <v>0</v>
      </c>
      <c r="H50" s="15">
        <f>F50*AO50</f>
        <v>0</v>
      </c>
      <c r="I50" s="15">
        <f>F50*AP50</f>
        <v>0</v>
      </c>
      <c r="J50" s="15">
        <f>F50*G50</f>
        <v>0</v>
      </c>
      <c r="K50" s="12" t="s">
        <v>406</v>
      </c>
      <c r="Z50" s="15">
        <f>IF(AQ50="5",BJ50,0)</f>
        <v>0</v>
      </c>
      <c r="AB50" s="15">
        <f>IF(AQ50="1",BH50,0)</f>
        <v>0</v>
      </c>
      <c r="AC50" s="15">
        <f>IF(AQ50="1",BI50,0)</f>
        <v>0</v>
      </c>
      <c r="AD50" s="15">
        <f>IF(AQ50="7",BH50,0)</f>
        <v>0</v>
      </c>
      <c r="AE50" s="15">
        <f>IF(AQ50="7",BI50,0)</f>
        <v>0</v>
      </c>
      <c r="AF50" s="15">
        <f>IF(AQ50="2",BH50,0)</f>
        <v>0</v>
      </c>
      <c r="AG50" s="15">
        <f>IF(AQ50="2",BI50,0)</f>
        <v>0</v>
      </c>
      <c r="AH50" s="15">
        <f>IF(AQ50="0",BJ50,0)</f>
        <v>0</v>
      </c>
      <c r="AI50" s="52" t="s">
        <v>566</v>
      </c>
      <c r="AJ50" s="15">
        <f>IF(AN50=0,J50,0)</f>
        <v>0</v>
      </c>
      <c r="AK50" s="15">
        <f>IF(AN50=12,J50,0)</f>
        <v>0</v>
      </c>
      <c r="AL50" s="15">
        <f>IF(AN50=21,J50,0)</f>
        <v>0</v>
      </c>
      <c r="AN50" s="15">
        <v>21</v>
      </c>
      <c r="AO50" s="15">
        <f>G50*0.494235517568851</f>
        <v>0</v>
      </c>
      <c r="AP50" s="15">
        <f>G50*(1-0.494235517568851)</f>
        <v>0</v>
      </c>
      <c r="AQ50" s="1" t="s">
        <v>829</v>
      </c>
      <c r="AV50" s="15">
        <f>AW50+AX50</f>
        <v>0</v>
      </c>
      <c r="AW50" s="15">
        <f>F50*AO50</f>
        <v>0</v>
      </c>
      <c r="AX50" s="15">
        <f>F50*AP50</f>
        <v>0</v>
      </c>
      <c r="AY50" s="1" t="s">
        <v>400</v>
      </c>
      <c r="AZ50" s="1" t="s">
        <v>332</v>
      </c>
      <c r="BA50" s="52" t="s">
        <v>870</v>
      </c>
      <c r="BC50" s="15">
        <f>AW50+AX50</f>
        <v>0</v>
      </c>
      <c r="BD50" s="15">
        <f>G50/(100-BE50)*100</f>
        <v>0</v>
      </c>
      <c r="BE50" s="15">
        <v>0</v>
      </c>
      <c r="BF50" s="15">
        <f>50</f>
        <v>50</v>
      </c>
      <c r="BH50" s="15">
        <f>F50*AO50</f>
        <v>0</v>
      </c>
      <c r="BI50" s="15">
        <f>F50*AP50</f>
        <v>0</v>
      </c>
      <c r="BJ50" s="15">
        <f>F50*G50</f>
        <v>0</v>
      </c>
      <c r="BK50" s="15"/>
      <c r="BL50" s="15">
        <v>62</v>
      </c>
      <c r="BW50" s="15">
        <v>21</v>
      </c>
    </row>
    <row r="51" spans="1:11" ht="13.5" customHeight="1">
      <c r="A51" s="53"/>
      <c r="C51" s="202" t="s">
        <v>135</v>
      </c>
      <c r="D51" s="211"/>
      <c r="E51" s="211"/>
      <c r="F51" s="211"/>
      <c r="G51" s="211"/>
      <c r="H51" s="211"/>
      <c r="I51" s="211"/>
      <c r="J51" s="211"/>
      <c r="K51" s="212"/>
    </row>
    <row r="52" spans="1:11" ht="15" customHeight="1">
      <c r="A52" s="53"/>
      <c r="C52" s="66" t="s">
        <v>879</v>
      </c>
      <c r="D52" s="18" t="s">
        <v>335</v>
      </c>
      <c r="F52" s="13">
        <v>2.7</v>
      </c>
      <c r="K52" s="32"/>
    </row>
    <row r="53" spans="1:75" ht="13.5" customHeight="1">
      <c r="A53" s="7" t="s">
        <v>277</v>
      </c>
      <c r="B53" s="11" t="s">
        <v>760</v>
      </c>
      <c r="C53" s="135" t="s">
        <v>120</v>
      </c>
      <c r="D53" s="130"/>
      <c r="E53" s="11" t="s">
        <v>819</v>
      </c>
      <c r="F53" s="15">
        <v>585.8</v>
      </c>
      <c r="G53" s="15">
        <v>0</v>
      </c>
      <c r="H53" s="15">
        <f>F53*AO53</f>
        <v>0</v>
      </c>
      <c r="I53" s="15">
        <f>F53*AP53</f>
        <v>0</v>
      </c>
      <c r="J53" s="15">
        <f>F53*G53</f>
        <v>0</v>
      </c>
      <c r="K53" s="12" t="s">
        <v>406</v>
      </c>
      <c r="Z53" s="15">
        <f>IF(AQ53="5",BJ53,0)</f>
        <v>0</v>
      </c>
      <c r="AB53" s="15">
        <f>IF(AQ53="1",BH53,0)</f>
        <v>0</v>
      </c>
      <c r="AC53" s="15">
        <f>IF(AQ53="1",BI53,0)</f>
        <v>0</v>
      </c>
      <c r="AD53" s="15">
        <f>IF(AQ53="7",BH53,0)</f>
        <v>0</v>
      </c>
      <c r="AE53" s="15">
        <f>IF(AQ53="7",BI53,0)</f>
        <v>0</v>
      </c>
      <c r="AF53" s="15">
        <f>IF(AQ53="2",BH53,0)</f>
        <v>0</v>
      </c>
      <c r="AG53" s="15">
        <f>IF(AQ53="2",BI53,0)</f>
        <v>0</v>
      </c>
      <c r="AH53" s="15">
        <f>IF(AQ53="0",BJ53,0)</f>
        <v>0</v>
      </c>
      <c r="AI53" s="52" t="s">
        <v>566</v>
      </c>
      <c r="AJ53" s="15">
        <f>IF(AN53=0,J53,0)</f>
        <v>0</v>
      </c>
      <c r="AK53" s="15">
        <f>IF(AN53=12,J53,0)</f>
        <v>0</v>
      </c>
      <c r="AL53" s="15">
        <f>IF(AN53=21,J53,0)</f>
        <v>0</v>
      </c>
      <c r="AN53" s="15">
        <v>21</v>
      </c>
      <c r="AO53" s="15">
        <f>G53*0.563976377952756</f>
        <v>0</v>
      </c>
      <c r="AP53" s="15">
        <f>G53*(1-0.563976377952756)</f>
        <v>0</v>
      </c>
      <c r="AQ53" s="1" t="s">
        <v>829</v>
      </c>
      <c r="AV53" s="15">
        <f>AW53+AX53</f>
        <v>0</v>
      </c>
      <c r="AW53" s="15">
        <f>F53*AO53</f>
        <v>0</v>
      </c>
      <c r="AX53" s="15">
        <f>F53*AP53</f>
        <v>0</v>
      </c>
      <c r="AY53" s="1" t="s">
        <v>400</v>
      </c>
      <c r="AZ53" s="1" t="s">
        <v>332</v>
      </c>
      <c r="BA53" s="52" t="s">
        <v>870</v>
      </c>
      <c r="BC53" s="15">
        <f>AW53+AX53</f>
        <v>0</v>
      </c>
      <c r="BD53" s="15">
        <f>G53/(100-BE53)*100</f>
        <v>0</v>
      </c>
      <c r="BE53" s="15">
        <v>0</v>
      </c>
      <c r="BF53" s="15">
        <f>53</f>
        <v>53</v>
      </c>
      <c r="BH53" s="15">
        <f>F53*AO53</f>
        <v>0</v>
      </c>
      <c r="BI53" s="15">
        <f>F53*AP53</f>
        <v>0</v>
      </c>
      <c r="BJ53" s="15">
        <f>F53*G53</f>
        <v>0</v>
      </c>
      <c r="BK53" s="15"/>
      <c r="BL53" s="15">
        <v>62</v>
      </c>
      <c r="BW53" s="15">
        <v>21</v>
      </c>
    </row>
    <row r="54" spans="1:11" ht="13.5" customHeight="1">
      <c r="A54" s="53"/>
      <c r="C54" s="202" t="s">
        <v>528</v>
      </c>
      <c r="D54" s="211"/>
      <c r="E54" s="211"/>
      <c r="F54" s="211"/>
      <c r="G54" s="211"/>
      <c r="H54" s="211"/>
      <c r="I54" s="211"/>
      <c r="J54" s="211"/>
      <c r="K54" s="212"/>
    </row>
    <row r="55" spans="1:11" ht="15" customHeight="1">
      <c r="A55" s="53"/>
      <c r="C55" s="66" t="s">
        <v>775</v>
      </c>
      <c r="D55" s="18" t="s">
        <v>809</v>
      </c>
      <c r="F55" s="13">
        <v>585.8000000000001</v>
      </c>
      <c r="K55" s="32"/>
    </row>
    <row r="56" spans="1:75" ht="13.5" customHeight="1">
      <c r="A56" s="7" t="s">
        <v>502</v>
      </c>
      <c r="B56" s="11" t="s">
        <v>872</v>
      </c>
      <c r="C56" s="135" t="s">
        <v>63</v>
      </c>
      <c r="D56" s="130"/>
      <c r="E56" s="11" t="s">
        <v>819</v>
      </c>
      <c r="F56" s="15">
        <v>585.8</v>
      </c>
      <c r="G56" s="15">
        <v>0</v>
      </c>
      <c r="H56" s="15">
        <f>F56*AO56</f>
        <v>0</v>
      </c>
      <c r="I56" s="15">
        <f>F56*AP56</f>
        <v>0</v>
      </c>
      <c r="J56" s="15">
        <f>F56*G56</f>
        <v>0</v>
      </c>
      <c r="K56" s="12" t="s">
        <v>406</v>
      </c>
      <c r="Z56" s="15">
        <f>IF(AQ56="5",BJ56,0)</f>
        <v>0</v>
      </c>
      <c r="AB56" s="15">
        <f>IF(AQ56="1",BH56,0)</f>
        <v>0</v>
      </c>
      <c r="AC56" s="15">
        <f>IF(AQ56="1",BI56,0)</f>
        <v>0</v>
      </c>
      <c r="AD56" s="15">
        <f>IF(AQ56="7",BH56,0)</f>
        <v>0</v>
      </c>
      <c r="AE56" s="15">
        <f>IF(AQ56="7",BI56,0)</f>
        <v>0</v>
      </c>
      <c r="AF56" s="15">
        <f>IF(AQ56="2",BH56,0)</f>
        <v>0</v>
      </c>
      <c r="AG56" s="15">
        <f>IF(AQ56="2",BI56,0)</f>
        <v>0</v>
      </c>
      <c r="AH56" s="15">
        <f>IF(AQ56="0",BJ56,0)</f>
        <v>0</v>
      </c>
      <c r="AI56" s="52" t="s">
        <v>566</v>
      </c>
      <c r="AJ56" s="15">
        <f>IF(AN56=0,J56,0)</f>
        <v>0</v>
      </c>
      <c r="AK56" s="15">
        <f>IF(AN56=12,J56,0)</f>
        <v>0</v>
      </c>
      <c r="AL56" s="15">
        <f>IF(AN56=21,J56,0)</f>
        <v>0</v>
      </c>
      <c r="AN56" s="15">
        <v>21</v>
      </c>
      <c r="AO56" s="15">
        <f>G56*0.0653881278538813</f>
        <v>0</v>
      </c>
      <c r="AP56" s="15">
        <f>G56*(1-0.0653881278538813)</f>
        <v>0</v>
      </c>
      <c r="AQ56" s="1" t="s">
        <v>829</v>
      </c>
      <c r="AV56" s="15">
        <f>AW56+AX56</f>
        <v>0</v>
      </c>
      <c r="AW56" s="15">
        <f>F56*AO56</f>
        <v>0</v>
      </c>
      <c r="AX56" s="15">
        <f>F56*AP56</f>
        <v>0</v>
      </c>
      <c r="AY56" s="1" t="s">
        <v>400</v>
      </c>
      <c r="AZ56" s="1" t="s">
        <v>332</v>
      </c>
      <c r="BA56" s="52" t="s">
        <v>870</v>
      </c>
      <c r="BC56" s="15">
        <f>AW56+AX56</f>
        <v>0</v>
      </c>
      <c r="BD56" s="15">
        <f>G56/(100-BE56)*100</f>
        <v>0</v>
      </c>
      <c r="BE56" s="15">
        <v>0</v>
      </c>
      <c r="BF56" s="15">
        <f>56</f>
        <v>56</v>
      </c>
      <c r="BH56" s="15">
        <f>F56*AO56</f>
        <v>0</v>
      </c>
      <c r="BI56" s="15">
        <f>F56*AP56</f>
        <v>0</v>
      </c>
      <c r="BJ56" s="15">
        <f>F56*G56</f>
        <v>0</v>
      </c>
      <c r="BK56" s="15"/>
      <c r="BL56" s="15">
        <v>62</v>
      </c>
      <c r="BW56" s="15">
        <v>21</v>
      </c>
    </row>
    <row r="57" spans="1:11" ht="15" customHeight="1">
      <c r="A57" s="53"/>
      <c r="C57" s="66" t="s">
        <v>775</v>
      </c>
      <c r="D57" s="18" t="s">
        <v>809</v>
      </c>
      <c r="F57" s="13">
        <v>585.8000000000001</v>
      </c>
      <c r="K57" s="32"/>
    </row>
    <row r="58" spans="1:47" ht="15" customHeight="1">
      <c r="A58" s="17" t="s">
        <v>577</v>
      </c>
      <c r="B58" s="20" t="s">
        <v>610</v>
      </c>
      <c r="C58" s="201" t="s">
        <v>413</v>
      </c>
      <c r="D58" s="210"/>
      <c r="E58" s="14" t="s">
        <v>774</v>
      </c>
      <c r="F58" s="14" t="s">
        <v>774</v>
      </c>
      <c r="G58" s="14" t="s">
        <v>774</v>
      </c>
      <c r="H58" s="68">
        <f>SUM(H59:H67)</f>
        <v>0</v>
      </c>
      <c r="I58" s="68">
        <f>SUM(I59:I67)</f>
        <v>0</v>
      </c>
      <c r="J58" s="68">
        <f>SUM(J59:J67)</f>
        <v>0</v>
      </c>
      <c r="K58" s="42" t="s">
        <v>577</v>
      </c>
      <c r="AI58" s="52" t="s">
        <v>566</v>
      </c>
      <c r="AS58" s="68">
        <f>SUM(AJ59:AJ67)</f>
        <v>0</v>
      </c>
      <c r="AT58" s="68">
        <f>SUM(AK59:AK67)</f>
        <v>0</v>
      </c>
      <c r="AU58" s="68">
        <f>SUM(AL59:AL67)</f>
        <v>0</v>
      </c>
    </row>
    <row r="59" spans="1:75" ht="13.5" customHeight="1">
      <c r="A59" s="7" t="s">
        <v>360</v>
      </c>
      <c r="B59" s="11" t="s">
        <v>874</v>
      </c>
      <c r="C59" s="135" t="s">
        <v>512</v>
      </c>
      <c r="D59" s="130"/>
      <c r="E59" s="11" t="s">
        <v>819</v>
      </c>
      <c r="F59" s="15">
        <v>188.35</v>
      </c>
      <c r="G59" s="15">
        <v>0</v>
      </c>
      <c r="H59" s="15">
        <f>F59*AO59</f>
        <v>0</v>
      </c>
      <c r="I59" s="15">
        <f>F59*AP59</f>
        <v>0</v>
      </c>
      <c r="J59" s="15">
        <f>F59*G59</f>
        <v>0</v>
      </c>
      <c r="K59" s="12" t="s">
        <v>406</v>
      </c>
      <c r="Z59" s="15">
        <f>IF(AQ59="5",BJ59,0)</f>
        <v>0</v>
      </c>
      <c r="AB59" s="15">
        <f>IF(AQ59="1",BH59,0)</f>
        <v>0</v>
      </c>
      <c r="AC59" s="15">
        <f>IF(AQ59="1",BI59,0)</f>
        <v>0</v>
      </c>
      <c r="AD59" s="15">
        <f>IF(AQ59="7",BH59,0)</f>
        <v>0</v>
      </c>
      <c r="AE59" s="15">
        <f>IF(AQ59="7",BI59,0)</f>
        <v>0</v>
      </c>
      <c r="AF59" s="15">
        <f>IF(AQ59="2",BH59,0)</f>
        <v>0</v>
      </c>
      <c r="AG59" s="15">
        <f>IF(AQ59="2",BI59,0)</f>
        <v>0</v>
      </c>
      <c r="AH59" s="15">
        <f>IF(AQ59="0",BJ59,0)</f>
        <v>0</v>
      </c>
      <c r="AI59" s="52" t="s">
        <v>566</v>
      </c>
      <c r="AJ59" s="15">
        <f>IF(AN59=0,J59,0)</f>
        <v>0</v>
      </c>
      <c r="AK59" s="15">
        <f>IF(AN59=12,J59,0)</f>
        <v>0</v>
      </c>
      <c r="AL59" s="15">
        <f>IF(AN59=21,J59,0)</f>
        <v>0</v>
      </c>
      <c r="AN59" s="15">
        <v>21</v>
      </c>
      <c r="AO59" s="15">
        <f>G59*0</f>
        <v>0</v>
      </c>
      <c r="AP59" s="15">
        <f>G59*(1-0)</f>
        <v>0</v>
      </c>
      <c r="AQ59" s="1" t="s">
        <v>831</v>
      </c>
      <c r="AV59" s="15">
        <f>AW59+AX59</f>
        <v>0</v>
      </c>
      <c r="AW59" s="15">
        <f>F59*AO59</f>
        <v>0</v>
      </c>
      <c r="AX59" s="15">
        <f>F59*AP59</f>
        <v>0</v>
      </c>
      <c r="AY59" s="1" t="s">
        <v>396</v>
      </c>
      <c r="AZ59" s="1" t="s">
        <v>631</v>
      </c>
      <c r="BA59" s="52" t="s">
        <v>870</v>
      </c>
      <c r="BC59" s="15">
        <f>AW59+AX59</f>
        <v>0</v>
      </c>
      <c r="BD59" s="15">
        <f>G59/(100-BE59)*100</f>
        <v>0</v>
      </c>
      <c r="BE59" s="15">
        <v>0</v>
      </c>
      <c r="BF59" s="15">
        <f>59</f>
        <v>59</v>
      </c>
      <c r="BH59" s="15">
        <f>F59*AO59</f>
        <v>0</v>
      </c>
      <c r="BI59" s="15">
        <f>F59*AP59</f>
        <v>0</v>
      </c>
      <c r="BJ59" s="15">
        <f>F59*G59</f>
        <v>0</v>
      </c>
      <c r="BK59" s="15"/>
      <c r="BL59" s="15">
        <v>712</v>
      </c>
      <c r="BW59" s="15">
        <v>21</v>
      </c>
    </row>
    <row r="60" spans="1:11" ht="13.5" customHeight="1">
      <c r="A60" s="53"/>
      <c r="C60" s="202" t="s">
        <v>174</v>
      </c>
      <c r="D60" s="211"/>
      <c r="E60" s="211"/>
      <c r="F60" s="211"/>
      <c r="G60" s="211"/>
      <c r="H60" s="211"/>
      <c r="I60" s="211"/>
      <c r="J60" s="211"/>
      <c r="K60" s="212"/>
    </row>
    <row r="61" spans="1:11" ht="15" customHeight="1">
      <c r="A61" s="53"/>
      <c r="C61" s="66" t="s">
        <v>197</v>
      </c>
      <c r="D61" s="18" t="s">
        <v>226</v>
      </c>
      <c r="F61" s="13">
        <v>151.15</v>
      </c>
      <c r="K61" s="32"/>
    </row>
    <row r="62" spans="1:11" ht="15" customHeight="1">
      <c r="A62" s="53"/>
      <c r="C62" s="66" t="s">
        <v>294</v>
      </c>
      <c r="D62" s="18" t="s">
        <v>718</v>
      </c>
      <c r="F62" s="13">
        <v>15.200000000000001</v>
      </c>
      <c r="K62" s="32"/>
    </row>
    <row r="63" spans="1:11" ht="15" customHeight="1">
      <c r="A63" s="53"/>
      <c r="C63" s="66" t="s">
        <v>352</v>
      </c>
      <c r="D63" s="18" t="s">
        <v>42</v>
      </c>
      <c r="F63" s="13">
        <v>22.000000000000004</v>
      </c>
      <c r="K63" s="32"/>
    </row>
    <row r="64" spans="1:75" ht="13.5" customHeight="1">
      <c r="A64" s="7" t="s">
        <v>91</v>
      </c>
      <c r="B64" s="11" t="s">
        <v>79</v>
      </c>
      <c r="C64" s="135" t="s">
        <v>589</v>
      </c>
      <c r="D64" s="130"/>
      <c r="E64" s="11" t="s">
        <v>819</v>
      </c>
      <c r="F64" s="15">
        <v>188.35</v>
      </c>
      <c r="G64" s="15">
        <v>0</v>
      </c>
      <c r="H64" s="15">
        <f>F64*AO64</f>
        <v>0</v>
      </c>
      <c r="I64" s="15">
        <f>F64*AP64</f>
        <v>0</v>
      </c>
      <c r="J64" s="15">
        <f>F64*G64</f>
        <v>0</v>
      </c>
      <c r="K64" s="12" t="s">
        <v>406</v>
      </c>
      <c r="Z64" s="15">
        <f>IF(AQ64="5",BJ64,0)</f>
        <v>0</v>
      </c>
      <c r="AB64" s="15">
        <f>IF(AQ64="1",BH64,0)</f>
        <v>0</v>
      </c>
      <c r="AC64" s="15">
        <f>IF(AQ64="1",BI64,0)</f>
        <v>0</v>
      </c>
      <c r="AD64" s="15">
        <f>IF(AQ64="7",BH64,0)</f>
        <v>0</v>
      </c>
      <c r="AE64" s="15">
        <f>IF(AQ64="7",BI64,0)</f>
        <v>0</v>
      </c>
      <c r="AF64" s="15">
        <f>IF(AQ64="2",BH64,0)</f>
        <v>0</v>
      </c>
      <c r="AG64" s="15">
        <f>IF(AQ64="2",BI64,0)</f>
        <v>0</v>
      </c>
      <c r="AH64" s="15">
        <f>IF(AQ64="0",BJ64,0)</f>
        <v>0</v>
      </c>
      <c r="AI64" s="52" t="s">
        <v>566</v>
      </c>
      <c r="AJ64" s="15">
        <f>IF(AN64=0,J64,0)</f>
        <v>0</v>
      </c>
      <c r="AK64" s="15">
        <f>IF(AN64=12,J64,0)</f>
        <v>0</v>
      </c>
      <c r="AL64" s="15">
        <f>IF(AN64=21,J64,0)</f>
        <v>0</v>
      </c>
      <c r="AN64" s="15">
        <v>21</v>
      </c>
      <c r="AO64" s="15">
        <f>G64*0</f>
        <v>0</v>
      </c>
      <c r="AP64" s="15">
        <f>G64*(1-0)</f>
        <v>0</v>
      </c>
      <c r="AQ64" s="1" t="s">
        <v>831</v>
      </c>
      <c r="AV64" s="15">
        <f>AW64+AX64</f>
        <v>0</v>
      </c>
      <c r="AW64" s="15">
        <f>F64*AO64</f>
        <v>0</v>
      </c>
      <c r="AX64" s="15">
        <f>F64*AP64</f>
        <v>0</v>
      </c>
      <c r="AY64" s="1" t="s">
        <v>396</v>
      </c>
      <c r="AZ64" s="1" t="s">
        <v>631</v>
      </c>
      <c r="BA64" s="52" t="s">
        <v>870</v>
      </c>
      <c r="BC64" s="15">
        <f>AW64+AX64</f>
        <v>0</v>
      </c>
      <c r="BD64" s="15">
        <f>G64/(100-BE64)*100</f>
        <v>0</v>
      </c>
      <c r="BE64" s="15">
        <v>0</v>
      </c>
      <c r="BF64" s="15">
        <f>64</f>
        <v>64</v>
      </c>
      <c r="BH64" s="15">
        <f>F64*AO64</f>
        <v>0</v>
      </c>
      <c r="BI64" s="15">
        <f>F64*AP64</f>
        <v>0</v>
      </c>
      <c r="BJ64" s="15">
        <f>F64*G64</f>
        <v>0</v>
      </c>
      <c r="BK64" s="15"/>
      <c r="BL64" s="15">
        <v>712</v>
      </c>
      <c r="BW64" s="15">
        <v>21</v>
      </c>
    </row>
    <row r="65" spans="1:11" ht="13.5" customHeight="1">
      <c r="A65" s="53"/>
      <c r="C65" s="202" t="s">
        <v>430</v>
      </c>
      <c r="D65" s="211"/>
      <c r="E65" s="211"/>
      <c r="F65" s="211"/>
      <c r="G65" s="211"/>
      <c r="H65" s="211"/>
      <c r="I65" s="211"/>
      <c r="J65" s="211"/>
      <c r="K65" s="212"/>
    </row>
    <row r="66" spans="1:11" ht="15" customHeight="1">
      <c r="A66" s="53"/>
      <c r="C66" s="66" t="s">
        <v>913</v>
      </c>
      <c r="D66" s="18" t="s">
        <v>577</v>
      </c>
      <c r="F66" s="13">
        <v>188.35000000000002</v>
      </c>
      <c r="K66" s="32"/>
    </row>
    <row r="67" spans="1:75" ht="13.5" customHeight="1">
      <c r="A67" s="7" t="s">
        <v>579</v>
      </c>
      <c r="B67" s="11" t="s">
        <v>407</v>
      </c>
      <c r="C67" s="135" t="s">
        <v>102</v>
      </c>
      <c r="D67" s="130"/>
      <c r="E67" s="11" t="s">
        <v>415</v>
      </c>
      <c r="F67" s="15">
        <v>0.24</v>
      </c>
      <c r="G67" s="15">
        <v>0</v>
      </c>
      <c r="H67" s="15">
        <f>F67*AO67</f>
        <v>0</v>
      </c>
      <c r="I67" s="15">
        <f>F67*AP67</f>
        <v>0</v>
      </c>
      <c r="J67" s="15">
        <f>F67*G67</f>
        <v>0</v>
      </c>
      <c r="K67" s="12" t="s">
        <v>406</v>
      </c>
      <c r="Z67" s="15">
        <f>IF(AQ67="5",BJ67,0)</f>
        <v>0</v>
      </c>
      <c r="AB67" s="15">
        <f>IF(AQ67="1",BH67,0)</f>
        <v>0</v>
      </c>
      <c r="AC67" s="15">
        <f>IF(AQ67="1",BI67,0)</f>
        <v>0</v>
      </c>
      <c r="AD67" s="15">
        <f>IF(AQ67="7",BH67,0)</f>
        <v>0</v>
      </c>
      <c r="AE67" s="15">
        <f>IF(AQ67="7",BI67,0)</f>
        <v>0</v>
      </c>
      <c r="AF67" s="15">
        <f>IF(AQ67="2",BH67,0)</f>
        <v>0</v>
      </c>
      <c r="AG67" s="15">
        <f>IF(AQ67="2",BI67,0)</f>
        <v>0</v>
      </c>
      <c r="AH67" s="15">
        <f>IF(AQ67="0",BJ67,0)</f>
        <v>0</v>
      </c>
      <c r="AI67" s="52" t="s">
        <v>566</v>
      </c>
      <c r="AJ67" s="15">
        <f>IF(AN67=0,J67,0)</f>
        <v>0</v>
      </c>
      <c r="AK67" s="15">
        <f>IF(AN67=12,J67,0)</f>
        <v>0</v>
      </c>
      <c r="AL67" s="15">
        <f>IF(AN67=21,J67,0)</f>
        <v>0</v>
      </c>
      <c r="AN67" s="15">
        <v>21</v>
      </c>
      <c r="AO67" s="15">
        <f>G67*0</f>
        <v>0</v>
      </c>
      <c r="AP67" s="15">
        <f>G67*(1-0)</f>
        <v>0</v>
      </c>
      <c r="AQ67" s="1" t="s">
        <v>461</v>
      </c>
      <c r="AV67" s="15">
        <f>AW67+AX67</f>
        <v>0</v>
      </c>
      <c r="AW67" s="15">
        <f>F67*AO67</f>
        <v>0</v>
      </c>
      <c r="AX67" s="15">
        <f>F67*AP67</f>
        <v>0</v>
      </c>
      <c r="AY67" s="1" t="s">
        <v>396</v>
      </c>
      <c r="AZ67" s="1" t="s">
        <v>631</v>
      </c>
      <c r="BA67" s="52" t="s">
        <v>870</v>
      </c>
      <c r="BC67" s="15">
        <f>AW67+AX67</f>
        <v>0</v>
      </c>
      <c r="BD67" s="15">
        <f>G67/(100-BE67)*100</f>
        <v>0</v>
      </c>
      <c r="BE67" s="15">
        <v>0</v>
      </c>
      <c r="BF67" s="15">
        <f>67</f>
        <v>67</v>
      </c>
      <c r="BH67" s="15">
        <f>F67*AO67</f>
        <v>0</v>
      </c>
      <c r="BI67" s="15">
        <f>F67*AP67</f>
        <v>0</v>
      </c>
      <c r="BJ67" s="15">
        <f>F67*G67</f>
        <v>0</v>
      </c>
      <c r="BK67" s="15"/>
      <c r="BL67" s="15">
        <v>712</v>
      </c>
      <c r="BW67" s="15">
        <v>21</v>
      </c>
    </row>
    <row r="68" spans="1:47" ht="15" customHeight="1">
      <c r="A68" s="17" t="s">
        <v>577</v>
      </c>
      <c r="B68" s="20" t="s">
        <v>522</v>
      </c>
      <c r="C68" s="201" t="s">
        <v>881</v>
      </c>
      <c r="D68" s="210"/>
      <c r="E68" s="14" t="s">
        <v>774</v>
      </c>
      <c r="F68" s="14" t="s">
        <v>774</v>
      </c>
      <c r="G68" s="14" t="s">
        <v>774</v>
      </c>
      <c r="H68" s="68">
        <f>SUM(H69:H173)</f>
        <v>0</v>
      </c>
      <c r="I68" s="68">
        <f>SUM(I69:I173)</f>
        <v>0</v>
      </c>
      <c r="J68" s="68">
        <f>SUM(J69:J173)</f>
        <v>0</v>
      </c>
      <c r="K68" s="42" t="s">
        <v>577</v>
      </c>
      <c r="AI68" s="52" t="s">
        <v>566</v>
      </c>
      <c r="AS68" s="68">
        <f>SUM(AJ69:AJ173)</f>
        <v>0</v>
      </c>
      <c r="AT68" s="68">
        <f>SUM(AK69:AK173)</f>
        <v>0</v>
      </c>
      <c r="AU68" s="68">
        <f>SUM(AL69:AL173)</f>
        <v>0</v>
      </c>
    </row>
    <row r="69" spans="1:75" ht="13.5" customHeight="1">
      <c r="A69" s="7" t="s">
        <v>673</v>
      </c>
      <c r="B69" s="11" t="s">
        <v>604</v>
      </c>
      <c r="C69" s="135" t="s">
        <v>876</v>
      </c>
      <c r="D69" s="130"/>
      <c r="E69" s="11" t="s">
        <v>819</v>
      </c>
      <c r="F69" s="15">
        <v>166.35</v>
      </c>
      <c r="G69" s="15">
        <v>0</v>
      </c>
      <c r="H69" s="15">
        <f>F69*AO69</f>
        <v>0</v>
      </c>
      <c r="I69" s="15">
        <f>F69*AP69</f>
        <v>0</v>
      </c>
      <c r="J69" s="15">
        <f>F69*G69</f>
        <v>0</v>
      </c>
      <c r="K69" s="12" t="s">
        <v>406</v>
      </c>
      <c r="Z69" s="15">
        <f>IF(AQ69="5",BJ69,0)</f>
        <v>0</v>
      </c>
      <c r="AB69" s="15">
        <f>IF(AQ69="1",BH69,0)</f>
        <v>0</v>
      </c>
      <c r="AC69" s="15">
        <f>IF(AQ69="1",BI69,0)</f>
        <v>0</v>
      </c>
      <c r="AD69" s="15">
        <f>IF(AQ69="7",BH69,0)</f>
        <v>0</v>
      </c>
      <c r="AE69" s="15">
        <f>IF(AQ69="7",BI69,0)</f>
        <v>0</v>
      </c>
      <c r="AF69" s="15">
        <f>IF(AQ69="2",BH69,0)</f>
        <v>0</v>
      </c>
      <c r="AG69" s="15">
        <f>IF(AQ69="2",BI69,0)</f>
        <v>0</v>
      </c>
      <c r="AH69" s="15">
        <f>IF(AQ69="0",BJ69,0)</f>
        <v>0</v>
      </c>
      <c r="AI69" s="52" t="s">
        <v>566</v>
      </c>
      <c r="AJ69" s="15">
        <f>IF(AN69=0,J69,0)</f>
        <v>0</v>
      </c>
      <c r="AK69" s="15">
        <f>IF(AN69=12,J69,0)</f>
        <v>0</v>
      </c>
      <c r="AL69" s="15">
        <f>IF(AN69=21,J69,0)</f>
        <v>0</v>
      </c>
      <c r="AN69" s="15">
        <v>21</v>
      </c>
      <c r="AO69" s="15">
        <f>G69*0</f>
        <v>0</v>
      </c>
      <c r="AP69" s="15">
        <f>G69*(1-0)</f>
        <v>0</v>
      </c>
      <c r="AQ69" s="1" t="s">
        <v>831</v>
      </c>
      <c r="AV69" s="15">
        <f>AW69+AX69</f>
        <v>0</v>
      </c>
      <c r="AW69" s="15">
        <f>F69*AO69</f>
        <v>0</v>
      </c>
      <c r="AX69" s="15">
        <f>F69*AP69</f>
        <v>0</v>
      </c>
      <c r="AY69" s="1" t="s">
        <v>527</v>
      </c>
      <c r="AZ69" s="1" t="s">
        <v>912</v>
      </c>
      <c r="BA69" s="52" t="s">
        <v>870</v>
      </c>
      <c r="BC69" s="15">
        <f>AW69+AX69</f>
        <v>0</v>
      </c>
      <c r="BD69" s="15">
        <f>G69/(100-BE69)*100</f>
        <v>0</v>
      </c>
      <c r="BE69" s="15">
        <v>0</v>
      </c>
      <c r="BF69" s="15">
        <f>69</f>
        <v>69</v>
      </c>
      <c r="BH69" s="15">
        <f>F69*AO69</f>
        <v>0</v>
      </c>
      <c r="BI69" s="15">
        <f>F69*AP69</f>
        <v>0</v>
      </c>
      <c r="BJ69" s="15">
        <f>F69*G69</f>
        <v>0</v>
      </c>
      <c r="BK69" s="15"/>
      <c r="BL69" s="15">
        <v>762</v>
      </c>
      <c r="BW69" s="15">
        <v>21</v>
      </c>
    </row>
    <row r="70" spans="1:11" ht="15" customHeight="1">
      <c r="A70" s="53"/>
      <c r="C70" s="66" t="s">
        <v>197</v>
      </c>
      <c r="D70" s="18" t="s">
        <v>226</v>
      </c>
      <c r="F70" s="13">
        <v>151.15</v>
      </c>
      <c r="K70" s="32"/>
    </row>
    <row r="71" spans="1:11" ht="15" customHeight="1">
      <c r="A71" s="53"/>
      <c r="C71" s="66" t="s">
        <v>294</v>
      </c>
      <c r="D71" s="18" t="s">
        <v>718</v>
      </c>
      <c r="F71" s="13">
        <v>15.200000000000001</v>
      </c>
      <c r="K71" s="32"/>
    </row>
    <row r="72" spans="1:75" ht="13.5" customHeight="1">
      <c r="A72" s="7" t="s">
        <v>532</v>
      </c>
      <c r="B72" s="11" t="s">
        <v>317</v>
      </c>
      <c r="C72" s="135" t="s">
        <v>811</v>
      </c>
      <c r="D72" s="130"/>
      <c r="E72" s="11" t="s">
        <v>819</v>
      </c>
      <c r="F72" s="15">
        <v>22</v>
      </c>
      <c r="G72" s="15">
        <v>0</v>
      </c>
      <c r="H72" s="15">
        <f>F72*AO72</f>
        <v>0</v>
      </c>
      <c r="I72" s="15">
        <f>F72*AP72</f>
        <v>0</v>
      </c>
      <c r="J72" s="15">
        <f>F72*G72</f>
        <v>0</v>
      </c>
      <c r="K72" s="12" t="s">
        <v>406</v>
      </c>
      <c r="Z72" s="15">
        <f>IF(AQ72="5",BJ72,0)</f>
        <v>0</v>
      </c>
      <c r="AB72" s="15">
        <f>IF(AQ72="1",BH72,0)</f>
        <v>0</v>
      </c>
      <c r="AC72" s="15">
        <f>IF(AQ72="1",BI72,0)</f>
        <v>0</v>
      </c>
      <c r="AD72" s="15">
        <f>IF(AQ72="7",BH72,0)</f>
        <v>0</v>
      </c>
      <c r="AE72" s="15">
        <f>IF(AQ72="7",BI72,0)</f>
        <v>0</v>
      </c>
      <c r="AF72" s="15">
        <f>IF(AQ72="2",BH72,0)</f>
        <v>0</v>
      </c>
      <c r="AG72" s="15">
        <f>IF(AQ72="2",BI72,0)</f>
        <v>0</v>
      </c>
      <c r="AH72" s="15">
        <f>IF(AQ72="0",BJ72,0)</f>
        <v>0</v>
      </c>
      <c r="AI72" s="52" t="s">
        <v>566</v>
      </c>
      <c r="AJ72" s="15">
        <f>IF(AN72=0,J72,0)</f>
        <v>0</v>
      </c>
      <c r="AK72" s="15">
        <f>IF(AN72=12,J72,0)</f>
        <v>0</v>
      </c>
      <c r="AL72" s="15">
        <f>IF(AN72=21,J72,0)</f>
        <v>0</v>
      </c>
      <c r="AN72" s="15">
        <v>21</v>
      </c>
      <c r="AO72" s="15">
        <f>G72*0</f>
        <v>0</v>
      </c>
      <c r="AP72" s="15">
        <f>G72*(1-0)</f>
        <v>0</v>
      </c>
      <c r="AQ72" s="1" t="s">
        <v>831</v>
      </c>
      <c r="AV72" s="15">
        <f>AW72+AX72</f>
        <v>0</v>
      </c>
      <c r="AW72" s="15">
        <f>F72*AO72</f>
        <v>0</v>
      </c>
      <c r="AX72" s="15">
        <f>F72*AP72</f>
        <v>0</v>
      </c>
      <c r="AY72" s="1" t="s">
        <v>527</v>
      </c>
      <c r="AZ72" s="1" t="s">
        <v>912</v>
      </c>
      <c r="BA72" s="52" t="s">
        <v>870</v>
      </c>
      <c r="BC72" s="15">
        <f>AW72+AX72</f>
        <v>0</v>
      </c>
      <c r="BD72" s="15">
        <f>G72/(100-BE72)*100</f>
        <v>0</v>
      </c>
      <c r="BE72" s="15">
        <v>0</v>
      </c>
      <c r="BF72" s="15">
        <f>72</f>
        <v>72</v>
      </c>
      <c r="BH72" s="15">
        <f>F72*AO72</f>
        <v>0</v>
      </c>
      <c r="BI72" s="15">
        <f>F72*AP72</f>
        <v>0</v>
      </c>
      <c r="BJ72" s="15">
        <f>F72*G72</f>
        <v>0</v>
      </c>
      <c r="BK72" s="15"/>
      <c r="BL72" s="15">
        <v>762</v>
      </c>
      <c r="BW72" s="15">
        <v>21</v>
      </c>
    </row>
    <row r="73" spans="1:11" ht="15" customHeight="1">
      <c r="A73" s="53"/>
      <c r="C73" s="66" t="s">
        <v>352</v>
      </c>
      <c r="D73" s="18" t="s">
        <v>42</v>
      </c>
      <c r="F73" s="13">
        <v>22.000000000000004</v>
      </c>
      <c r="K73" s="32"/>
    </row>
    <row r="74" spans="1:75" ht="13.5" customHeight="1">
      <c r="A74" s="7" t="s">
        <v>51</v>
      </c>
      <c r="B74" s="11" t="s">
        <v>60</v>
      </c>
      <c r="C74" s="135" t="s">
        <v>132</v>
      </c>
      <c r="D74" s="130"/>
      <c r="E74" s="11" t="s">
        <v>819</v>
      </c>
      <c r="F74" s="15">
        <v>188.35</v>
      </c>
      <c r="G74" s="15">
        <v>0</v>
      </c>
      <c r="H74" s="15">
        <f>F74*AO74</f>
        <v>0</v>
      </c>
      <c r="I74" s="15">
        <f>F74*AP74</f>
        <v>0</v>
      </c>
      <c r="J74" s="15">
        <f>F74*G74</f>
        <v>0</v>
      </c>
      <c r="K74" s="12" t="s">
        <v>406</v>
      </c>
      <c r="Z74" s="15">
        <f>IF(AQ74="5",BJ74,0)</f>
        <v>0</v>
      </c>
      <c r="AB74" s="15">
        <f>IF(AQ74="1",BH74,0)</f>
        <v>0</v>
      </c>
      <c r="AC74" s="15">
        <f>IF(AQ74="1",BI74,0)</f>
        <v>0</v>
      </c>
      <c r="AD74" s="15">
        <f>IF(AQ74="7",BH74,0)</f>
        <v>0</v>
      </c>
      <c r="AE74" s="15">
        <f>IF(AQ74="7",BI74,0)</f>
        <v>0</v>
      </c>
      <c r="AF74" s="15">
        <f>IF(AQ74="2",BH74,0)</f>
        <v>0</v>
      </c>
      <c r="AG74" s="15">
        <f>IF(AQ74="2",BI74,0)</f>
        <v>0</v>
      </c>
      <c r="AH74" s="15">
        <f>IF(AQ74="0",BJ74,0)</f>
        <v>0</v>
      </c>
      <c r="AI74" s="52" t="s">
        <v>566</v>
      </c>
      <c r="AJ74" s="15">
        <f>IF(AN74=0,J74,0)</f>
        <v>0</v>
      </c>
      <c r="AK74" s="15">
        <f>IF(AN74=12,J74,0)</f>
        <v>0</v>
      </c>
      <c r="AL74" s="15">
        <f>IF(AN74=21,J74,0)</f>
        <v>0</v>
      </c>
      <c r="AN74" s="15">
        <v>21</v>
      </c>
      <c r="AO74" s="15">
        <f>G74*0</f>
        <v>0</v>
      </c>
      <c r="AP74" s="15">
        <f>G74*(1-0)</f>
        <v>0</v>
      </c>
      <c r="AQ74" s="1" t="s">
        <v>831</v>
      </c>
      <c r="AV74" s="15">
        <f>AW74+AX74</f>
        <v>0</v>
      </c>
      <c r="AW74" s="15">
        <f>F74*AO74</f>
        <v>0</v>
      </c>
      <c r="AX74" s="15">
        <f>F74*AP74</f>
        <v>0</v>
      </c>
      <c r="AY74" s="1" t="s">
        <v>527</v>
      </c>
      <c r="AZ74" s="1" t="s">
        <v>912</v>
      </c>
      <c r="BA74" s="52" t="s">
        <v>870</v>
      </c>
      <c r="BC74" s="15">
        <f>AW74+AX74</f>
        <v>0</v>
      </c>
      <c r="BD74" s="15">
        <f>G74/(100-BE74)*100</f>
        <v>0</v>
      </c>
      <c r="BE74" s="15">
        <v>0</v>
      </c>
      <c r="BF74" s="15">
        <f>74</f>
        <v>74</v>
      </c>
      <c r="BH74" s="15">
        <f>F74*AO74</f>
        <v>0</v>
      </c>
      <c r="BI74" s="15">
        <f>F74*AP74</f>
        <v>0</v>
      </c>
      <c r="BJ74" s="15">
        <f>F74*G74</f>
        <v>0</v>
      </c>
      <c r="BK74" s="15"/>
      <c r="BL74" s="15">
        <v>762</v>
      </c>
      <c r="BW74" s="15">
        <v>21</v>
      </c>
    </row>
    <row r="75" spans="1:11" ht="15" customHeight="1">
      <c r="A75" s="53"/>
      <c r="C75" s="66" t="s">
        <v>197</v>
      </c>
      <c r="D75" s="18" t="s">
        <v>226</v>
      </c>
      <c r="F75" s="13">
        <v>151.15</v>
      </c>
      <c r="K75" s="32"/>
    </row>
    <row r="76" spans="1:11" ht="15" customHeight="1">
      <c r="A76" s="53"/>
      <c r="C76" s="66" t="s">
        <v>294</v>
      </c>
      <c r="D76" s="18" t="s">
        <v>718</v>
      </c>
      <c r="F76" s="13">
        <v>15.200000000000001</v>
      </c>
      <c r="K76" s="32"/>
    </row>
    <row r="77" spans="1:11" ht="15" customHeight="1">
      <c r="A77" s="53"/>
      <c r="C77" s="66" t="s">
        <v>352</v>
      </c>
      <c r="D77" s="18" t="s">
        <v>42</v>
      </c>
      <c r="F77" s="13">
        <v>22.000000000000004</v>
      </c>
      <c r="K77" s="32"/>
    </row>
    <row r="78" spans="1:75" ht="13.5" customHeight="1">
      <c r="A78" s="7" t="s">
        <v>587</v>
      </c>
      <c r="B78" s="11" t="s">
        <v>445</v>
      </c>
      <c r="C78" s="135" t="s">
        <v>417</v>
      </c>
      <c r="D78" s="130"/>
      <c r="E78" s="11" t="s">
        <v>819</v>
      </c>
      <c r="F78" s="15">
        <v>188.35</v>
      </c>
      <c r="G78" s="15">
        <v>0</v>
      </c>
      <c r="H78" s="15">
        <f>F78*AO78</f>
        <v>0</v>
      </c>
      <c r="I78" s="15">
        <f>F78*AP78</f>
        <v>0</v>
      </c>
      <c r="J78" s="15">
        <f>F78*G78</f>
        <v>0</v>
      </c>
      <c r="K78" s="12" t="s">
        <v>406</v>
      </c>
      <c r="Z78" s="15">
        <f>IF(AQ78="5",BJ78,0)</f>
        <v>0</v>
      </c>
      <c r="AB78" s="15">
        <f>IF(AQ78="1",BH78,0)</f>
        <v>0</v>
      </c>
      <c r="AC78" s="15">
        <f>IF(AQ78="1",BI78,0)</f>
        <v>0</v>
      </c>
      <c r="AD78" s="15">
        <f>IF(AQ78="7",BH78,0)</f>
        <v>0</v>
      </c>
      <c r="AE78" s="15">
        <f>IF(AQ78="7",BI78,0)</f>
        <v>0</v>
      </c>
      <c r="AF78" s="15">
        <f>IF(AQ78="2",BH78,0)</f>
        <v>0</v>
      </c>
      <c r="AG78" s="15">
        <f>IF(AQ78="2",BI78,0)</f>
        <v>0</v>
      </c>
      <c r="AH78" s="15">
        <f>IF(AQ78="0",BJ78,0)</f>
        <v>0</v>
      </c>
      <c r="AI78" s="52" t="s">
        <v>566</v>
      </c>
      <c r="AJ78" s="15">
        <f>IF(AN78=0,J78,0)</f>
        <v>0</v>
      </c>
      <c r="AK78" s="15">
        <f>IF(AN78=12,J78,0)</f>
        <v>0</v>
      </c>
      <c r="AL78" s="15">
        <f>IF(AN78=21,J78,0)</f>
        <v>0</v>
      </c>
      <c r="AN78" s="15">
        <v>21</v>
      </c>
      <c r="AO78" s="15">
        <f>G78*0</f>
        <v>0</v>
      </c>
      <c r="AP78" s="15">
        <f>G78*(1-0)</f>
        <v>0</v>
      </c>
      <c r="AQ78" s="1" t="s">
        <v>831</v>
      </c>
      <c r="AV78" s="15">
        <f>AW78+AX78</f>
        <v>0</v>
      </c>
      <c r="AW78" s="15">
        <f>F78*AO78</f>
        <v>0</v>
      </c>
      <c r="AX78" s="15">
        <f>F78*AP78</f>
        <v>0</v>
      </c>
      <c r="AY78" s="1" t="s">
        <v>527</v>
      </c>
      <c r="AZ78" s="1" t="s">
        <v>912</v>
      </c>
      <c r="BA78" s="52" t="s">
        <v>870</v>
      </c>
      <c r="BC78" s="15">
        <f>AW78+AX78</f>
        <v>0</v>
      </c>
      <c r="BD78" s="15">
        <f>G78/(100-BE78)*100</f>
        <v>0</v>
      </c>
      <c r="BE78" s="15">
        <v>0</v>
      </c>
      <c r="BF78" s="15">
        <f>78</f>
        <v>78</v>
      </c>
      <c r="BH78" s="15">
        <f>F78*AO78</f>
        <v>0</v>
      </c>
      <c r="BI78" s="15">
        <f>F78*AP78</f>
        <v>0</v>
      </c>
      <c r="BJ78" s="15">
        <f>F78*G78</f>
        <v>0</v>
      </c>
      <c r="BK78" s="15"/>
      <c r="BL78" s="15">
        <v>762</v>
      </c>
      <c r="BW78" s="15">
        <v>21</v>
      </c>
    </row>
    <row r="79" spans="1:11" ht="15" customHeight="1">
      <c r="A79" s="53"/>
      <c r="C79" s="66" t="s">
        <v>197</v>
      </c>
      <c r="D79" s="18" t="s">
        <v>226</v>
      </c>
      <c r="F79" s="13">
        <v>151.15</v>
      </c>
      <c r="K79" s="32"/>
    </row>
    <row r="80" spans="1:11" ht="15" customHeight="1">
      <c r="A80" s="53"/>
      <c r="C80" s="66" t="s">
        <v>294</v>
      </c>
      <c r="D80" s="18" t="s">
        <v>718</v>
      </c>
      <c r="F80" s="13">
        <v>15.200000000000001</v>
      </c>
      <c r="K80" s="32"/>
    </row>
    <row r="81" spans="1:11" ht="15" customHeight="1">
      <c r="A81" s="53"/>
      <c r="C81" s="66" t="s">
        <v>352</v>
      </c>
      <c r="D81" s="18" t="s">
        <v>42</v>
      </c>
      <c r="F81" s="13">
        <v>22.000000000000004</v>
      </c>
      <c r="K81" s="32"/>
    </row>
    <row r="82" spans="1:75" ht="13.5" customHeight="1">
      <c r="A82" s="73" t="s">
        <v>798</v>
      </c>
      <c r="B82" s="24" t="s">
        <v>32</v>
      </c>
      <c r="C82" s="204" t="s">
        <v>651</v>
      </c>
      <c r="D82" s="213"/>
      <c r="E82" s="24" t="s">
        <v>807</v>
      </c>
      <c r="F82" s="74">
        <v>6.93</v>
      </c>
      <c r="G82" s="74">
        <v>0</v>
      </c>
      <c r="H82" s="74">
        <f>F82*AO82</f>
        <v>0</v>
      </c>
      <c r="I82" s="74">
        <f>F82*AP82</f>
        <v>0</v>
      </c>
      <c r="J82" s="74">
        <f>F82*G82</f>
        <v>0</v>
      </c>
      <c r="K82" s="16" t="s">
        <v>406</v>
      </c>
      <c r="Z82" s="15">
        <f>IF(AQ82="5",BJ82,0)</f>
        <v>0</v>
      </c>
      <c r="AB82" s="15">
        <f>IF(AQ82="1",BH82,0)</f>
        <v>0</v>
      </c>
      <c r="AC82" s="15">
        <f>IF(AQ82="1",BI82,0)</f>
        <v>0</v>
      </c>
      <c r="AD82" s="15">
        <f>IF(AQ82="7",BH82,0)</f>
        <v>0</v>
      </c>
      <c r="AE82" s="15">
        <f>IF(AQ82="7",BI82,0)</f>
        <v>0</v>
      </c>
      <c r="AF82" s="15">
        <f>IF(AQ82="2",BH82,0)</f>
        <v>0</v>
      </c>
      <c r="AG82" s="15">
        <f>IF(AQ82="2",BI82,0)</f>
        <v>0</v>
      </c>
      <c r="AH82" s="15">
        <f>IF(AQ82="0",BJ82,0)</f>
        <v>0</v>
      </c>
      <c r="AI82" s="52" t="s">
        <v>566</v>
      </c>
      <c r="AJ82" s="74">
        <f>IF(AN82=0,J82,0)</f>
        <v>0</v>
      </c>
      <c r="AK82" s="74">
        <f>IF(AN82=12,J82,0)</f>
        <v>0</v>
      </c>
      <c r="AL82" s="74">
        <f>IF(AN82=21,J82,0)</f>
        <v>0</v>
      </c>
      <c r="AN82" s="15">
        <v>21</v>
      </c>
      <c r="AO82" s="15">
        <f>G82*1</f>
        <v>0</v>
      </c>
      <c r="AP82" s="15">
        <f>G82*(1-1)</f>
        <v>0</v>
      </c>
      <c r="AQ82" s="10" t="s">
        <v>831</v>
      </c>
      <c r="AV82" s="15">
        <f>AW82+AX82</f>
        <v>0</v>
      </c>
      <c r="AW82" s="15">
        <f>F82*AO82</f>
        <v>0</v>
      </c>
      <c r="AX82" s="15">
        <f>F82*AP82</f>
        <v>0</v>
      </c>
      <c r="AY82" s="1" t="s">
        <v>527</v>
      </c>
      <c r="AZ82" s="1" t="s">
        <v>912</v>
      </c>
      <c r="BA82" s="52" t="s">
        <v>870</v>
      </c>
      <c r="BC82" s="15">
        <f>AW82+AX82</f>
        <v>0</v>
      </c>
      <c r="BD82" s="15">
        <f>G82/(100-BE82)*100</f>
        <v>0</v>
      </c>
      <c r="BE82" s="15">
        <v>0</v>
      </c>
      <c r="BF82" s="15">
        <f>82</f>
        <v>82</v>
      </c>
      <c r="BH82" s="74">
        <f>F82*AO82</f>
        <v>0</v>
      </c>
      <c r="BI82" s="74">
        <f>F82*AP82</f>
        <v>0</v>
      </c>
      <c r="BJ82" s="74">
        <f>F82*G82</f>
        <v>0</v>
      </c>
      <c r="BK82" s="74"/>
      <c r="BL82" s="15">
        <v>762</v>
      </c>
      <c r="BW82" s="15">
        <v>21</v>
      </c>
    </row>
    <row r="83" spans="1:11" ht="15" customHeight="1">
      <c r="A83" s="53"/>
      <c r="C83" s="66" t="s">
        <v>827</v>
      </c>
      <c r="D83" s="18" t="s">
        <v>226</v>
      </c>
      <c r="F83" s="13">
        <v>4.840000000000001</v>
      </c>
      <c r="K83" s="32"/>
    </row>
    <row r="84" spans="1:11" ht="15" customHeight="1">
      <c r="A84" s="53"/>
      <c r="C84" s="66" t="s">
        <v>216</v>
      </c>
      <c r="D84" s="18" t="s">
        <v>718</v>
      </c>
      <c r="F84" s="13">
        <v>0.49000000000000005</v>
      </c>
      <c r="K84" s="32"/>
    </row>
    <row r="85" spans="1:11" ht="15" customHeight="1">
      <c r="A85" s="53"/>
      <c r="C85" s="66" t="s">
        <v>138</v>
      </c>
      <c r="D85" s="18" t="s">
        <v>42</v>
      </c>
      <c r="F85" s="13">
        <v>0.7000000000000001</v>
      </c>
      <c r="K85" s="32"/>
    </row>
    <row r="86" spans="1:11" ht="15" customHeight="1">
      <c r="A86" s="53"/>
      <c r="C86" s="66" t="s">
        <v>274</v>
      </c>
      <c r="D86" s="18" t="s">
        <v>577</v>
      </c>
      <c r="F86" s="13">
        <v>0.9</v>
      </c>
      <c r="K86" s="32"/>
    </row>
    <row r="87" spans="1:75" ht="13.5" customHeight="1">
      <c r="A87" s="7" t="s">
        <v>403</v>
      </c>
      <c r="B87" s="11" t="s">
        <v>248</v>
      </c>
      <c r="C87" s="135" t="s">
        <v>426</v>
      </c>
      <c r="D87" s="130"/>
      <c r="E87" s="11" t="s">
        <v>819</v>
      </c>
      <c r="F87" s="15">
        <v>166.35</v>
      </c>
      <c r="G87" s="15">
        <v>0</v>
      </c>
      <c r="H87" s="15">
        <f>F87*AO87</f>
        <v>0</v>
      </c>
      <c r="I87" s="15">
        <f>F87*AP87</f>
        <v>0</v>
      </c>
      <c r="J87" s="15">
        <f>F87*G87</f>
        <v>0</v>
      </c>
      <c r="K87" s="12" t="s">
        <v>406</v>
      </c>
      <c r="Z87" s="15">
        <f>IF(AQ87="5",BJ87,0)</f>
        <v>0</v>
      </c>
      <c r="AB87" s="15">
        <f>IF(AQ87="1",BH87,0)</f>
        <v>0</v>
      </c>
      <c r="AC87" s="15">
        <f>IF(AQ87="1",BI87,0)</f>
        <v>0</v>
      </c>
      <c r="AD87" s="15">
        <f>IF(AQ87="7",BH87,0)</f>
        <v>0</v>
      </c>
      <c r="AE87" s="15">
        <f>IF(AQ87="7",BI87,0)</f>
        <v>0</v>
      </c>
      <c r="AF87" s="15">
        <f>IF(AQ87="2",BH87,0)</f>
        <v>0</v>
      </c>
      <c r="AG87" s="15">
        <f>IF(AQ87="2",BI87,0)</f>
        <v>0</v>
      </c>
      <c r="AH87" s="15">
        <f>IF(AQ87="0",BJ87,0)</f>
        <v>0</v>
      </c>
      <c r="AI87" s="52" t="s">
        <v>566</v>
      </c>
      <c r="AJ87" s="15">
        <f>IF(AN87=0,J87,0)</f>
        <v>0</v>
      </c>
      <c r="AK87" s="15">
        <f>IF(AN87=12,J87,0)</f>
        <v>0</v>
      </c>
      <c r="AL87" s="15">
        <f>IF(AN87=21,J87,0)</f>
        <v>0</v>
      </c>
      <c r="AN87" s="15">
        <v>21</v>
      </c>
      <c r="AO87" s="15">
        <f>G87*0.578608695652174</f>
        <v>0</v>
      </c>
      <c r="AP87" s="15">
        <f>G87*(1-0.578608695652174)</f>
        <v>0</v>
      </c>
      <c r="AQ87" s="1" t="s">
        <v>831</v>
      </c>
      <c r="AV87" s="15">
        <f>AW87+AX87</f>
        <v>0</v>
      </c>
      <c r="AW87" s="15">
        <f>F87*AO87</f>
        <v>0</v>
      </c>
      <c r="AX87" s="15">
        <f>F87*AP87</f>
        <v>0</v>
      </c>
      <c r="AY87" s="1" t="s">
        <v>527</v>
      </c>
      <c r="AZ87" s="1" t="s">
        <v>912</v>
      </c>
      <c r="BA87" s="52" t="s">
        <v>870</v>
      </c>
      <c r="BC87" s="15">
        <f>AW87+AX87</f>
        <v>0</v>
      </c>
      <c r="BD87" s="15">
        <f>G87/(100-BE87)*100</f>
        <v>0</v>
      </c>
      <c r="BE87" s="15">
        <v>0</v>
      </c>
      <c r="BF87" s="15">
        <f>87</f>
        <v>87</v>
      </c>
      <c r="BH87" s="15">
        <f>F87*AO87</f>
        <v>0</v>
      </c>
      <c r="BI87" s="15">
        <f>F87*AP87</f>
        <v>0</v>
      </c>
      <c r="BJ87" s="15">
        <f>F87*G87</f>
        <v>0</v>
      </c>
      <c r="BK87" s="15"/>
      <c r="BL87" s="15">
        <v>762</v>
      </c>
      <c r="BW87" s="15">
        <v>21</v>
      </c>
    </row>
    <row r="88" spans="1:11" ht="13.5" customHeight="1">
      <c r="A88" s="53"/>
      <c r="C88" s="202" t="s">
        <v>392</v>
      </c>
      <c r="D88" s="211"/>
      <c r="E88" s="211"/>
      <c r="F88" s="211"/>
      <c r="G88" s="211"/>
      <c r="H88" s="211"/>
      <c r="I88" s="211"/>
      <c r="J88" s="211"/>
      <c r="K88" s="212"/>
    </row>
    <row r="89" spans="1:11" ht="15" customHeight="1">
      <c r="A89" s="53"/>
      <c r="C89" s="66" t="s">
        <v>197</v>
      </c>
      <c r="D89" s="18" t="s">
        <v>226</v>
      </c>
      <c r="F89" s="13">
        <v>151.15</v>
      </c>
      <c r="K89" s="32"/>
    </row>
    <row r="90" spans="1:11" ht="15" customHeight="1">
      <c r="A90" s="53"/>
      <c r="C90" s="66" t="s">
        <v>294</v>
      </c>
      <c r="D90" s="18" t="s">
        <v>718</v>
      </c>
      <c r="F90" s="13">
        <v>15.200000000000001</v>
      </c>
      <c r="K90" s="32"/>
    </row>
    <row r="91" spans="1:75" ht="13.5" customHeight="1">
      <c r="A91" s="7" t="s">
        <v>93</v>
      </c>
      <c r="B91" s="11" t="s">
        <v>860</v>
      </c>
      <c r="C91" s="135" t="s">
        <v>517</v>
      </c>
      <c r="D91" s="130"/>
      <c r="E91" s="11" t="s">
        <v>224</v>
      </c>
      <c r="F91" s="15">
        <v>48</v>
      </c>
      <c r="G91" s="15">
        <v>0</v>
      </c>
      <c r="H91" s="15">
        <f>F91*AO91</f>
        <v>0</v>
      </c>
      <c r="I91" s="15">
        <f>F91*AP91</f>
        <v>0</v>
      </c>
      <c r="J91" s="15">
        <f>F91*G91</f>
        <v>0</v>
      </c>
      <c r="K91" s="12" t="s">
        <v>406</v>
      </c>
      <c r="Z91" s="15">
        <f>IF(AQ91="5",BJ91,0)</f>
        <v>0</v>
      </c>
      <c r="AB91" s="15">
        <f>IF(AQ91="1",BH91,0)</f>
        <v>0</v>
      </c>
      <c r="AC91" s="15">
        <f>IF(AQ91="1",BI91,0)</f>
        <v>0</v>
      </c>
      <c r="AD91" s="15">
        <f>IF(AQ91="7",BH91,0)</f>
        <v>0</v>
      </c>
      <c r="AE91" s="15">
        <f>IF(AQ91="7",BI91,0)</f>
        <v>0</v>
      </c>
      <c r="AF91" s="15">
        <f>IF(AQ91="2",BH91,0)</f>
        <v>0</v>
      </c>
      <c r="AG91" s="15">
        <f>IF(AQ91="2",BI91,0)</f>
        <v>0</v>
      </c>
      <c r="AH91" s="15">
        <f>IF(AQ91="0",BJ91,0)</f>
        <v>0</v>
      </c>
      <c r="AI91" s="52" t="s">
        <v>566</v>
      </c>
      <c r="AJ91" s="15">
        <f>IF(AN91=0,J91,0)</f>
        <v>0</v>
      </c>
      <c r="AK91" s="15">
        <f>IF(AN91=12,J91,0)</f>
        <v>0</v>
      </c>
      <c r="AL91" s="15">
        <f>IF(AN91=21,J91,0)</f>
        <v>0</v>
      </c>
      <c r="AN91" s="15">
        <v>21</v>
      </c>
      <c r="AO91" s="15">
        <f>G91*0.0548027842227378</f>
        <v>0</v>
      </c>
      <c r="AP91" s="15">
        <f>G91*(1-0.0548027842227378)</f>
        <v>0</v>
      </c>
      <c r="AQ91" s="1" t="s">
        <v>831</v>
      </c>
      <c r="AV91" s="15">
        <f>AW91+AX91</f>
        <v>0</v>
      </c>
      <c r="AW91" s="15">
        <f>F91*AO91</f>
        <v>0</v>
      </c>
      <c r="AX91" s="15">
        <f>F91*AP91</f>
        <v>0</v>
      </c>
      <c r="AY91" s="1" t="s">
        <v>527</v>
      </c>
      <c r="AZ91" s="1" t="s">
        <v>912</v>
      </c>
      <c r="BA91" s="52" t="s">
        <v>870</v>
      </c>
      <c r="BC91" s="15">
        <f>AW91+AX91</f>
        <v>0</v>
      </c>
      <c r="BD91" s="15">
        <f>G91/(100-BE91)*100</f>
        <v>0</v>
      </c>
      <c r="BE91" s="15">
        <v>0</v>
      </c>
      <c r="BF91" s="15">
        <f>91</f>
        <v>91</v>
      </c>
      <c r="BH91" s="15">
        <f>F91*AO91</f>
        <v>0</v>
      </c>
      <c r="BI91" s="15">
        <f>F91*AP91</f>
        <v>0</v>
      </c>
      <c r="BJ91" s="15">
        <f>F91*G91</f>
        <v>0</v>
      </c>
      <c r="BK91" s="15"/>
      <c r="BL91" s="15">
        <v>762</v>
      </c>
      <c r="BW91" s="15">
        <v>21</v>
      </c>
    </row>
    <row r="92" spans="1:11" ht="15" customHeight="1">
      <c r="A92" s="53"/>
      <c r="C92" s="66" t="s">
        <v>526</v>
      </c>
      <c r="D92" s="18" t="s">
        <v>577</v>
      </c>
      <c r="F92" s="13">
        <v>48.00000000000001</v>
      </c>
      <c r="K92" s="32"/>
    </row>
    <row r="93" spans="1:75" ht="13.5" customHeight="1">
      <c r="A93" s="73" t="s">
        <v>223</v>
      </c>
      <c r="B93" s="24" t="s">
        <v>780</v>
      </c>
      <c r="C93" s="204" t="s">
        <v>28</v>
      </c>
      <c r="D93" s="213"/>
      <c r="E93" s="24" t="s">
        <v>415</v>
      </c>
      <c r="F93" s="74">
        <v>0.14</v>
      </c>
      <c r="G93" s="74">
        <v>0</v>
      </c>
      <c r="H93" s="74">
        <f>F93*AO93</f>
        <v>0</v>
      </c>
      <c r="I93" s="74">
        <f>F93*AP93</f>
        <v>0</v>
      </c>
      <c r="J93" s="74">
        <f>F93*G93</f>
        <v>0</v>
      </c>
      <c r="K93" s="16" t="s">
        <v>406</v>
      </c>
      <c r="Z93" s="15">
        <f>IF(AQ93="5",BJ93,0)</f>
        <v>0</v>
      </c>
      <c r="AB93" s="15">
        <f>IF(AQ93="1",BH93,0)</f>
        <v>0</v>
      </c>
      <c r="AC93" s="15">
        <f>IF(AQ93="1",BI93,0)</f>
        <v>0</v>
      </c>
      <c r="AD93" s="15">
        <f>IF(AQ93="7",BH93,0)</f>
        <v>0</v>
      </c>
      <c r="AE93" s="15">
        <f>IF(AQ93="7",BI93,0)</f>
        <v>0</v>
      </c>
      <c r="AF93" s="15">
        <f>IF(AQ93="2",BH93,0)</f>
        <v>0</v>
      </c>
      <c r="AG93" s="15">
        <f>IF(AQ93="2",BI93,0)</f>
        <v>0</v>
      </c>
      <c r="AH93" s="15">
        <f>IF(AQ93="0",BJ93,0)</f>
        <v>0</v>
      </c>
      <c r="AI93" s="52" t="s">
        <v>566</v>
      </c>
      <c r="AJ93" s="74">
        <f>IF(AN93=0,J93,0)</f>
        <v>0</v>
      </c>
      <c r="AK93" s="74">
        <f>IF(AN93=12,J93,0)</f>
        <v>0</v>
      </c>
      <c r="AL93" s="74">
        <f>IF(AN93=21,J93,0)</f>
        <v>0</v>
      </c>
      <c r="AN93" s="15">
        <v>21</v>
      </c>
      <c r="AO93" s="15">
        <f>G93*1</f>
        <v>0</v>
      </c>
      <c r="AP93" s="15">
        <f>G93*(1-1)</f>
        <v>0</v>
      </c>
      <c r="AQ93" s="10" t="s">
        <v>831</v>
      </c>
      <c r="AV93" s="15">
        <f>AW93+AX93</f>
        <v>0</v>
      </c>
      <c r="AW93" s="15">
        <f>F93*AO93</f>
        <v>0</v>
      </c>
      <c r="AX93" s="15">
        <f>F93*AP93</f>
        <v>0</v>
      </c>
      <c r="AY93" s="1" t="s">
        <v>527</v>
      </c>
      <c r="AZ93" s="1" t="s">
        <v>912</v>
      </c>
      <c r="BA93" s="52" t="s">
        <v>870</v>
      </c>
      <c r="BC93" s="15">
        <f>AW93+AX93</f>
        <v>0</v>
      </c>
      <c r="BD93" s="15">
        <f>G93/(100-BE93)*100</f>
        <v>0</v>
      </c>
      <c r="BE93" s="15">
        <v>0</v>
      </c>
      <c r="BF93" s="15">
        <f>93</f>
        <v>93</v>
      </c>
      <c r="BH93" s="74">
        <f>F93*AO93</f>
        <v>0</v>
      </c>
      <c r="BI93" s="74">
        <f>F93*AP93</f>
        <v>0</v>
      </c>
      <c r="BJ93" s="74">
        <f>F93*G93</f>
        <v>0</v>
      </c>
      <c r="BK93" s="74"/>
      <c r="BL93" s="15">
        <v>762</v>
      </c>
      <c r="BW93" s="15">
        <v>21</v>
      </c>
    </row>
    <row r="94" spans="1:11" ht="15" customHeight="1">
      <c r="A94" s="53"/>
      <c r="C94" s="66" t="s">
        <v>329</v>
      </c>
      <c r="D94" s="18" t="s">
        <v>577</v>
      </c>
      <c r="F94" s="13">
        <v>0.14</v>
      </c>
      <c r="K94" s="32"/>
    </row>
    <row r="95" spans="1:75" ht="13.5" customHeight="1">
      <c r="A95" s="7" t="s">
        <v>123</v>
      </c>
      <c r="B95" s="11" t="s">
        <v>151</v>
      </c>
      <c r="C95" s="135" t="s">
        <v>440</v>
      </c>
      <c r="D95" s="130"/>
      <c r="E95" s="11" t="s">
        <v>807</v>
      </c>
      <c r="F95" s="15">
        <v>15.68</v>
      </c>
      <c r="G95" s="15">
        <v>0</v>
      </c>
      <c r="H95" s="15">
        <f>F95*AO95</f>
        <v>0</v>
      </c>
      <c r="I95" s="15">
        <f>F95*AP95</f>
        <v>0</v>
      </c>
      <c r="J95" s="15">
        <f>F95*G95</f>
        <v>0</v>
      </c>
      <c r="K95" s="12" t="s">
        <v>406</v>
      </c>
      <c r="Z95" s="15">
        <f>IF(AQ95="5",BJ95,0)</f>
        <v>0</v>
      </c>
      <c r="AB95" s="15">
        <f>IF(AQ95="1",BH95,0)</f>
        <v>0</v>
      </c>
      <c r="AC95" s="15">
        <f>IF(AQ95="1",BI95,0)</f>
        <v>0</v>
      </c>
      <c r="AD95" s="15">
        <f>IF(AQ95="7",BH95,0)</f>
        <v>0</v>
      </c>
      <c r="AE95" s="15">
        <f>IF(AQ95="7",BI95,0)</f>
        <v>0</v>
      </c>
      <c r="AF95" s="15">
        <f>IF(AQ95="2",BH95,0)</f>
        <v>0</v>
      </c>
      <c r="AG95" s="15">
        <f>IF(AQ95="2",BI95,0)</f>
        <v>0</v>
      </c>
      <c r="AH95" s="15">
        <f>IF(AQ95="0",BJ95,0)</f>
        <v>0</v>
      </c>
      <c r="AI95" s="52" t="s">
        <v>566</v>
      </c>
      <c r="AJ95" s="15">
        <f>IF(AN95=0,J95,0)</f>
        <v>0</v>
      </c>
      <c r="AK95" s="15">
        <f>IF(AN95=12,J95,0)</f>
        <v>0</v>
      </c>
      <c r="AL95" s="15">
        <f>IF(AN95=21,J95,0)</f>
        <v>0</v>
      </c>
      <c r="AN95" s="15">
        <v>21</v>
      </c>
      <c r="AO95" s="15">
        <f>G95*1</f>
        <v>0</v>
      </c>
      <c r="AP95" s="15">
        <f>G95*(1-1)</f>
        <v>0</v>
      </c>
      <c r="AQ95" s="1" t="s">
        <v>831</v>
      </c>
      <c r="AV95" s="15">
        <f>AW95+AX95</f>
        <v>0</v>
      </c>
      <c r="AW95" s="15">
        <f>F95*AO95</f>
        <v>0</v>
      </c>
      <c r="AX95" s="15">
        <f>F95*AP95</f>
        <v>0</v>
      </c>
      <c r="AY95" s="1" t="s">
        <v>527</v>
      </c>
      <c r="AZ95" s="1" t="s">
        <v>912</v>
      </c>
      <c r="BA95" s="52" t="s">
        <v>870</v>
      </c>
      <c r="BC95" s="15">
        <f>AW95+AX95</f>
        <v>0</v>
      </c>
      <c r="BD95" s="15">
        <f>G95/(100-BE95)*100</f>
        <v>0</v>
      </c>
      <c r="BE95" s="15">
        <v>0</v>
      </c>
      <c r="BF95" s="15">
        <f>95</f>
        <v>95</v>
      </c>
      <c r="BH95" s="15">
        <f>F95*AO95</f>
        <v>0</v>
      </c>
      <c r="BI95" s="15">
        <f>F95*AP95</f>
        <v>0</v>
      </c>
      <c r="BJ95" s="15">
        <f>F95*G95</f>
        <v>0</v>
      </c>
      <c r="BK95" s="15"/>
      <c r="BL95" s="15">
        <v>762</v>
      </c>
      <c r="BW95" s="15">
        <v>21</v>
      </c>
    </row>
    <row r="96" spans="1:11" ht="15" customHeight="1">
      <c r="A96" s="53"/>
      <c r="C96" s="66" t="s">
        <v>629</v>
      </c>
      <c r="D96" s="18" t="s">
        <v>162</v>
      </c>
      <c r="F96" s="13">
        <v>15.680000000000001</v>
      </c>
      <c r="K96" s="32"/>
    </row>
    <row r="97" spans="1:75" ht="13.5" customHeight="1">
      <c r="A97" s="7" t="s">
        <v>815</v>
      </c>
      <c r="B97" s="11" t="s">
        <v>312</v>
      </c>
      <c r="C97" s="135" t="s">
        <v>617</v>
      </c>
      <c r="D97" s="130"/>
      <c r="E97" s="11" t="s">
        <v>819</v>
      </c>
      <c r="F97" s="15">
        <v>100</v>
      </c>
      <c r="G97" s="15">
        <v>0</v>
      </c>
      <c r="H97" s="15">
        <f>F97*AO97</f>
        <v>0</v>
      </c>
      <c r="I97" s="15">
        <f>F97*AP97</f>
        <v>0</v>
      </c>
      <c r="J97" s="15">
        <f>F97*G97</f>
        <v>0</v>
      </c>
      <c r="K97" s="12" t="s">
        <v>406</v>
      </c>
      <c r="Z97" s="15">
        <f>IF(AQ97="5",BJ97,0)</f>
        <v>0</v>
      </c>
      <c r="AB97" s="15">
        <f>IF(AQ97="1",BH97,0)</f>
        <v>0</v>
      </c>
      <c r="AC97" s="15">
        <f>IF(AQ97="1",BI97,0)</f>
        <v>0</v>
      </c>
      <c r="AD97" s="15">
        <f>IF(AQ97="7",BH97,0)</f>
        <v>0</v>
      </c>
      <c r="AE97" s="15">
        <f>IF(AQ97="7",BI97,0)</f>
        <v>0</v>
      </c>
      <c r="AF97" s="15">
        <f>IF(AQ97="2",BH97,0)</f>
        <v>0</v>
      </c>
      <c r="AG97" s="15">
        <f>IF(AQ97="2",BI97,0)</f>
        <v>0</v>
      </c>
      <c r="AH97" s="15">
        <f>IF(AQ97="0",BJ97,0)</f>
        <v>0</v>
      </c>
      <c r="AI97" s="52" t="s">
        <v>566</v>
      </c>
      <c r="AJ97" s="15">
        <f>IF(AN97=0,J97,0)</f>
        <v>0</v>
      </c>
      <c r="AK97" s="15">
        <f>IF(AN97=12,J97,0)</f>
        <v>0</v>
      </c>
      <c r="AL97" s="15">
        <f>IF(AN97=21,J97,0)</f>
        <v>0</v>
      </c>
      <c r="AN97" s="15">
        <v>21</v>
      </c>
      <c r="AO97" s="15">
        <f>G97*0.0181621621621622</f>
        <v>0</v>
      </c>
      <c r="AP97" s="15">
        <f>G97*(1-0.0181621621621622)</f>
        <v>0</v>
      </c>
      <c r="AQ97" s="1" t="s">
        <v>831</v>
      </c>
      <c r="AV97" s="15">
        <f>AW97+AX97</f>
        <v>0</v>
      </c>
      <c r="AW97" s="15">
        <f>F97*AO97</f>
        <v>0</v>
      </c>
      <c r="AX97" s="15">
        <f>F97*AP97</f>
        <v>0</v>
      </c>
      <c r="AY97" s="1" t="s">
        <v>527</v>
      </c>
      <c r="AZ97" s="1" t="s">
        <v>912</v>
      </c>
      <c r="BA97" s="52" t="s">
        <v>870</v>
      </c>
      <c r="BC97" s="15">
        <f>AW97+AX97</f>
        <v>0</v>
      </c>
      <c r="BD97" s="15">
        <f>G97/(100-BE97)*100</f>
        <v>0</v>
      </c>
      <c r="BE97" s="15">
        <v>0</v>
      </c>
      <c r="BF97" s="15">
        <f>97</f>
        <v>97</v>
      </c>
      <c r="BH97" s="15">
        <f>F97*AO97</f>
        <v>0</v>
      </c>
      <c r="BI97" s="15">
        <f>F97*AP97</f>
        <v>0</v>
      </c>
      <c r="BJ97" s="15">
        <f>F97*G97</f>
        <v>0</v>
      </c>
      <c r="BK97" s="15"/>
      <c r="BL97" s="15">
        <v>762</v>
      </c>
      <c r="BW97" s="15">
        <v>21</v>
      </c>
    </row>
    <row r="98" spans="1:11" ht="15" customHeight="1">
      <c r="A98" s="53"/>
      <c r="C98" s="66" t="s">
        <v>691</v>
      </c>
      <c r="D98" s="18" t="s">
        <v>577</v>
      </c>
      <c r="F98" s="13">
        <v>100.00000000000001</v>
      </c>
      <c r="K98" s="32"/>
    </row>
    <row r="99" spans="1:75" ht="13.5" customHeight="1">
      <c r="A99" s="73" t="s">
        <v>899</v>
      </c>
      <c r="B99" s="24" t="s">
        <v>206</v>
      </c>
      <c r="C99" s="204" t="s">
        <v>165</v>
      </c>
      <c r="D99" s="213"/>
      <c r="E99" s="24" t="s">
        <v>819</v>
      </c>
      <c r="F99" s="74">
        <v>115</v>
      </c>
      <c r="G99" s="74">
        <v>0</v>
      </c>
      <c r="H99" s="74">
        <f>F99*AO99</f>
        <v>0</v>
      </c>
      <c r="I99" s="74">
        <f>F99*AP99</f>
        <v>0</v>
      </c>
      <c r="J99" s="74">
        <f>F99*G99</f>
        <v>0</v>
      </c>
      <c r="K99" s="16" t="s">
        <v>406</v>
      </c>
      <c r="Z99" s="15">
        <f>IF(AQ99="5",BJ99,0)</f>
        <v>0</v>
      </c>
      <c r="AB99" s="15">
        <f>IF(AQ99="1",BH99,0)</f>
        <v>0</v>
      </c>
      <c r="AC99" s="15">
        <f>IF(AQ99="1",BI99,0)</f>
        <v>0</v>
      </c>
      <c r="AD99" s="15">
        <f>IF(AQ99="7",BH99,0)</f>
        <v>0</v>
      </c>
      <c r="AE99" s="15">
        <f>IF(AQ99="7",BI99,0)</f>
        <v>0</v>
      </c>
      <c r="AF99" s="15">
        <f>IF(AQ99="2",BH99,0)</f>
        <v>0</v>
      </c>
      <c r="AG99" s="15">
        <f>IF(AQ99="2",BI99,0)</f>
        <v>0</v>
      </c>
      <c r="AH99" s="15">
        <f>IF(AQ99="0",BJ99,0)</f>
        <v>0</v>
      </c>
      <c r="AI99" s="52" t="s">
        <v>566</v>
      </c>
      <c r="AJ99" s="74">
        <f>IF(AN99=0,J99,0)</f>
        <v>0</v>
      </c>
      <c r="AK99" s="74">
        <f>IF(AN99=12,J99,0)</f>
        <v>0</v>
      </c>
      <c r="AL99" s="74">
        <f>IF(AN99=21,J99,0)</f>
        <v>0</v>
      </c>
      <c r="AN99" s="15">
        <v>21</v>
      </c>
      <c r="AO99" s="15">
        <f>G99*1</f>
        <v>0</v>
      </c>
      <c r="AP99" s="15">
        <f>G99*(1-1)</f>
        <v>0</v>
      </c>
      <c r="AQ99" s="10" t="s">
        <v>831</v>
      </c>
      <c r="AV99" s="15">
        <f>AW99+AX99</f>
        <v>0</v>
      </c>
      <c r="AW99" s="15">
        <f>F99*AO99</f>
        <v>0</v>
      </c>
      <c r="AX99" s="15">
        <f>F99*AP99</f>
        <v>0</v>
      </c>
      <c r="AY99" s="1" t="s">
        <v>527</v>
      </c>
      <c r="AZ99" s="1" t="s">
        <v>912</v>
      </c>
      <c r="BA99" s="52" t="s">
        <v>870</v>
      </c>
      <c r="BC99" s="15">
        <f>AW99+AX99</f>
        <v>0</v>
      </c>
      <c r="BD99" s="15">
        <f>G99/(100-BE99)*100</f>
        <v>0</v>
      </c>
      <c r="BE99" s="15">
        <v>0</v>
      </c>
      <c r="BF99" s="15">
        <f>99</f>
        <v>99</v>
      </c>
      <c r="BH99" s="74">
        <f>F99*AO99</f>
        <v>0</v>
      </c>
      <c r="BI99" s="74">
        <f>F99*AP99</f>
        <v>0</v>
      </c>
      <c r="BJ99" s="74">
        <f>F99*G99</f>
        <v>0</v>
      </c>
      <c r="BK99" s="74"/>
      <c r="BL99" s="15">
        <v>762</v>
      </c>
      <c r="BW99" s="15">
        <v>21</v>
      </c>
    </row>
    <row r="100" spans="1:11" ht="15" customHeight="1">
      <c r="A100" s="53"/>
      <c r="C100" s="66" t="s">
        <v>691</v>
      </c>
      <c r="D100" s="18" t="s">
        <v>791</v>
      </c>
      <c r="F100" s="13">
        <v>100.00000000000001</v>
      </c>
      <c r="K100" s="32"/>
    </row>
    <row r="101" spans="1:11" ht="15" customHeight="1">
      <c r="A101" s="53"/>
      <c r="C101" s="66" t="s">
        <v>355</v>
      </c>
      <c r="D101" s="18" t="s">
        <v>577</v>
      </c>
      <c r="F101" s="13">
        <v>15.000000000000002</v>
      </c>
      <c r="K101" s="32"/>
    </row>
    <row r="102" spans="1:75" ht="13.5" customHeight="1">
      <c r="A102" s="7" t="s">
        <v>73</v>
      </c>
      <c r="B102" s="11" t="s">
        <v>518</v>
      </c>
      <c r="C102" s="135" t="s">
        <v>772</v>
      </c>
      <c r="D102" s="130"/>
      <c r="E102" s="11" t="s">
        <v>224</v>
      </c>
      <c r="F102" s="15">
        <v>3</v>
      </c>
      <c r="G102" s="15">
        <v>0</v>
      </c>
      <c r="H102" s="15">
        <f>F102*AO102</f>
        <v>0</v>
      </c>
      <c r="I102" s="15">
        <f>F102*AP102</f>
        <v>0</v>
      </c>
      <c r="J102" s="15">
        <f>F102*G102</f>
        <v>0</v>
      </c>
      <c r="K102" s="12" t="s">
        <v>406</v>
      </c>
      <c r="Z102" s="15">
        <f>IF(AQ102="5",BJ102,0)</f>
        <v>0</v>
      </c>
      <c r="AB102" s="15">
        <f>IF(AQ102="1",BH102,0)</f>
        <v>0</v>
      </c>
      <c r="AC102" s="15">
        <f>IF(AQ102="1",BI102,0)</f>
        <v>0</v>
      </c>
      <c r="AD102" s="15">
        <f>IF(AQ102="7",BH102,0)</f>
        <v>0</v>
      </c>
      <c r="AE102" s="15">
        <f>IF(AQ102="7",BI102,0)</f>
        <v>0</v>
      </c>
      <c r="AF102" s="15">
        <f>IF(AQ102="2",BH102,0)</f>
        <v>0</v>
      </c>
      <c r="AG102" s="15">
        <f>IF(AQ102="2",BI102,0)</f>
        <v>0</v>
      </c>
      <c r="AH102" s="15">
        <f>IF(AQ102="0",BJ102,0)</f>
        <v>0</v>
      </c>
      <c r="AI102" s="52" t="s">
        <v>566</v>
      </c>
      <c r="AJ102" s="15">
        <f>IF(AN102=0,J102,0)</f>
        <v>0</v>
      </c>
      <c r="AK102" s="15">
        <f>IF(AN102=12,J102,0)</f>
        <v>0</v>
      </c>
      <c r="AL102" s="15">
        <f>IF(AN102=21,J102,0)</f>
        <v>0</v>
      </c>
      <c r="AN102" s="15">
        <v>21</v>
      </c>
      <c r="AO102" s="15">
        <f>G102*0.139967488201363</f>
        <v>0</v>
      </c>
      <c r="AP102" s="15">
        <f>G102*(1-0.139967488201363)</f>
        <v>0</v>
      </c>
      <c r="AQ102" s="1" t="s">
        <v>831</v>
      </c>
      <c r="AV102" s="15">
        <f>AW102+AX102</f>
        <v>0</v>
      </c>
      <c r="AW102" s="15">
        <f>F102*AO102</f>
        <v>0</v>
      </c>
      <c r="AX102" s="15">
        <f>F102*AP102</f>
        <v>0</v>
      </c>
      <c r="AY102" s="1" t="s">
        <v>527</v>
      </c>
      <c r="AZ102" s="1" t="s">
        <v>912</v>
      </c>
      <c r="BA102" s="52" t="s">
        <v>870</v>
      </c>
      <c r="BC102" s="15">
        <f>AW102+AX102</f>
        <v>0</v>
      </c>
      <c r="BD102" s="15">
        <f>G102/(100-BE102)*100</f>
        <v>0</v>
      </c>
      <c r="BE102" s="15">
        <v>0</v>
      </c>
      <c r="BF102" s="15">
        <f>102</f>
        <v>102</v>
      </c>
      <c r="BH102" s="15">
        <f>F102*AO102</f>
        <v>0</v>
      </c>
      <c r="BI102" s="15">
        <f>F102*AP102</f>
        <v>0</v>
      </c>
      <c r="BJ102" s="15">
        <f>F102*G102</f>
        <v>0</v>
      </c>
      <c r="BK102" s="15"/>
      <c r="BL102" s="15">
        <v>762</v>
      </c>
      <c r="BW102" s="15">
        <v>21</v>
      </c>
    </row>
    <row r="103" spans="1:11" ht="13.5" customHeight="1">
      <c r="A103" s="53"/>
      <c r="C103" s="202" t="s">
        <v>437</v>
      </c>
      <c r="D103" s="211"/>
      <c r="E103" s="211"/>
      <c r="F103" s="211"/>
      <c r="G103" s="211"/>
      <c r="H103" s="211"/>
      <c r="I103" s="211"/>
      <c r="J103" s="211"/>
      <c r="K103" s="212"/>
    </row>
    <row r="104" spans="1:11" ht="15" customHeight="1">
      <c r="A104" s="53"/>
      <c r="C104" s="66" t="s">
        <v>724</v>
      </c>
      <c r="D104" s="18" t="s">
        <v>577</v>
      </c>
      <c r="F104" s="13">
        <v>3.0000000000000004</v>
      </c>
      <c r="K104" s="32"/>
    </row>
    <row r="105" spans="1:75" ht="13.5" customHeight="1">
      <c r="A105" s="7" t="s">
        <v>541</v>
      </c>
      <c r="B105" s="11" t="s">
        <v>228</v>
      </c>
      <c r="C105" s="135" t="s">
        <v>509</v>
      </c>
      <c r="D105" s="130"/>
      <c r="E105" s="11" t="s">
        <v>695</v>
      </c>
      <c r="F105" s="15">
        <v>84</v>
      </c>
      <c r="G105" s="15">
        <v>0</v>
      </c>
      <c r="H105" s="15">
        <f>F105*AO105</f>
        <v>0</v>
      </c>
      <c r="I105" s="15">
        <f>F105*AP105</f>
        <v>0</v>
      </c>
      <c r="J105" s="15">
        <f>F105*G105</f>
        <v>0</v>
      </c>
      <c r="K105" s="12" t="s">
        <v>406</v>
      </c>
      <c r="Z105" s="15">
        <f>IF(AQ105="5",BJ105,0)</f>
        <v>0</v>
      </c>
      <c r="AB105" s="15">
        <f>IF(AQ105="1",BH105,0)</f>
        <v>0</v>
      </c>
      <c r="AC105" s="15">
        <f>IF(AQ105="1",BI105,0)</f>
        <v>0</v>
      </c>
      <c r="AD105" s="15">
        <f>IF(AQ105="7",BH105,0)</f>
        <v>0</v>
      </c>
      <c r="AE105" s="15">
        <f>IF(AQ105="7",BI105,0)</f>
        <v>0</v>
      </c>
      <c r="AF105" s="15">
        <f>IF(AQ105="2",BH105,0)</f>
        <v>0</v>
      </c>
      <c r="AG105" s="15">
        <f>IF(AQ105="2",BI105,0)</f>
        <v>0</v>
      </c>
      <c r="AH105" s="15">
        <f>IF(AQ105="0",BJ105,0)</f>
        <v>0</v>
      </c>
      <c r="AI105" s="52" t="s">
        <v>566</v>
      </c>
      <c r="AJ105" s="15">
        <f>IF(AN105=0,J105,0)</f>
        <v>0</v>
      </c>
      <c r="AK105" s="15">
        <f>IF(AN105=12,J105,0)</f>
        <v>0</v>
      </c>
      <c r="AL105" s="15">
        <f>IF(AN105=21,J105,0)</f>
        <v>0</v>
      </c>
      <c r="AN105" s="15">
        <v>21</v>
      </c>
      <c r="AO105" s="15">
        <f>G105*0</f>
        <v>0</v>
      </c>
      <c r="AP105" s="15">
        <f>G105*(1-0)</f>
        <v>0</v>
      </c>
      <c r="AQ105" s="1" t="s">
        <v>831</v>
      </c>
      <c r="AV105" s="15">
        <f>AW105+AX105</f>
        <v>0</v>
      </c>
      <c r="AW105" s="15">
        <f>F105*AO105</f>
        <v>0</v>
      </c>
      <c r="AX105" s="15">
        <f>F105*AP105</f>
        <v>0</v>
      </c>
      <c r="AY105" s="1" t="s">
        <v>527</v>
      </c>
      <c r="AZ105" s="1" t="s">
        <v>912</v>
      </c>
      <c r="BA105" s="52" t="s">
        <v>870</v>
      </c>
      <c r="BC105" s="15">
        <f>AW105+AX105</f>
        <v>0</v>
      </c>
      <c r="BD105" s="15">
        <f>G105/(100-BE105)*100</f>
        <v>0</v>
      </c>
      <c r="BE105" s="15">
        <v>0</v>
      </c>
      <c r="BF105" s="15">
        <f>105</f>
        <v>105</v>
      </c>
      <c r="BH105" s="15">
        <f>F105*AO105</f>
        <v>0</v>
      </c>
      <c r="BI105" s="15">
        <f>F105*AP105</f>
        <v>0</v>
      </c>
      <c r="BJ105" s="15">
        <f>F105*G105</f>
        <v>0</v>
      </c>
      <c r="BK105" s="15"/>
      <c r="BL105" s="15">
        <v>762</v>
      </c>
      <c r="BW105" s="15">
        <v>21</v>
      </c>
    </row>
    <row r="106" spans="1:11" ht="15" customHeight="1">
      <c r="A106" s="53"/>
      <c r="C106" s="66" t="s">
        <v>505</v>
      </c>
      <c r="D106" s="18" t="s">
        <v>157</v>
      </c>
      <c r="F106" s="13">
        <v>84</v>
      </c>
      <c r="K106" s="32"/>
    </row>
    <row r="107" spans="1:75" ht="13.5" customHeight="1">
      <c r="A107" s="7" t="s">
        <v>504</v>
      </c>
      <c r="B107" s="11" t="s">
        <v>501</v>
      </c>
      <c r="C107" s="135" t="s">
        <v>399</v>
      </c>
      <c r="D107" s="130"/>
      <c r="E107" s="11" t="s">
        <v>695</v>
      </c>
      <c r="F107" s="15">
        <v>341.76</v>
      </c>
      <c r="G107" s="15">
        <v>0</v>
      </c>
      <c r="H107" s="15">
        <f>F107*AO107</f>
        <v>0</v>
      </c>
      <c r="I107" s="15">
        <f>F107*AP107</f>
        <v>0</v>
      </c>
      <c r="J107" s="15">
        <f>F107*G107</f>
        <v>0</v>
      </c>
      <c r="K107" s="12" t="s">
        <v>406</v>
      </c>
      <c r="Z107" s="15">
        <f>IF(AQ107="5",BJ107,0)</f>
        <v>0</v>
      </c>
      <c r="AB107" s="15">
        <f>IF(AQ107="1",BH107,0)</f>
        <v>0</v>
      </c>
      <c r="AC107" s="15">
        <f>IF(AQ107="1",BI107,0)</f>
        <v>0</v>
      </c>
      <c r="AD107" s="15">
        <f>IF(AQ107="7",BH107,0)</f>
        <v>0</v>
      </c>
      <c r="AE107" s="15">
        <f>IF(AQ107="7",BI107,0)</f>
        <v>0</v>
      </c>
      <c r="AF107" s="15">
        <f>IF(AQ107="2",BH107,0)</f>
        <v>0</v>
      </c>
      <c r="AG107" s="15">
        <f>IF(AQ107="2",BI107,0)</f>
        <v>0</v>
      </c>
      <c r="AH107" s="15">
        <f>IF(AQ107="0",BJ107,0)</f>
        <v>0</v>
      </c>
      <c r="AI107" s="52" t="s">
        <v>566</v>
      </c>
      <c r="AJ107" s="15">
        <f>IF(AN107=0,J107,0)</f>
        <v>0</v>
      </c>
      <c r="AK107" s="15">
        <f>IF(AN107=12,J107,0)</f>
        <v>0</v>
      </c>
      <c r="AL107" s="15">
        <f>IF(AN107=21,J107,0)</f>
        <v>0</v>
      </c>
      <c r="AN107" s="15">
        <v>21</v>
      </c>
      <c r="AO107" s="15">
        <f>G107*0</f>
        <v>0</v>
      </c>
      <c r="AP107" s="15">
        <f>G107*(1-0)</f>
        <v>0</v>
      </c>
      <c r="AQ107" s="1" t="s">
        <v>831</v>
      </c>
      <c r="AV107" s="15">
        <f>AW107+AX107</f>
        <v>0</v>
      </c>
      <c r="AW107" s="15">
        <f>F107*AO107</f>
        <v>0</v>
      </c>
      <c r="AX107" s="15">
        <f>F107*AP107</f>
        <v>0</v>
      </c>
      <c r="AY107" s="1" t="s">
        <v>527</v>
      </c>
      <c r="AZ107" s="1" t="s">
        <v>912</v>
      </c>
      <c r="BA107" s="52" t="s">
        <v>870</v>
      </c>
      <c r="BC107" s="15">
        <f>AW107+AX107</f>
        <v>0</v>
      </c>
      <c r="BD107" s="15">
        <f>G107/(100-BE107)*100</f>
        <v>0</v>
      </c>
      <c r="BE107" s="15">
        <v>0</v>
      </c>
      <c r="BF107" s="15">
        <f>107</f>
        <v>107</v>
      </c>
      <c r="BH107" s="15">
        <f>F107*AO107</f>
        <v>0</v>
      </c>
      <c r="BI107" s="15">
        <f>F107*AP107</f>
        <v>0</v>
      </c>
      <c r="BJ107" s="15">
        <f>F107*G107</f>
        <v>0</v>
      </c>
      <c r="BK107" s="15"/>
      <c r="BL107" s="15">
        <v>762</v>
      </c>
      <c r="BW107" s="15">
        <v>21</v>
      </c>
    </row>
    <row r="108" spans="1:11" ht="15" customHeight="1">
      <c r="A108" s="53"/>
      <c r="C108" s="66" t="s">
        <v>605</v>
      </c>
      <c r="D108" s="18" t="s">
        <v>157</v>
      </c>
      <c r="F108" s="13">
        <v>341.76000000000005</v>
      </c>
      <c r="K108" s="32"/>
    </row>
    <row r="109" spans="1:75" ht="13.5" customHeight="1">
      <c r="A109" s="7" t="s">
        <v>702</v>
      </c>
      <c r="B109" s="11" t="s">
        <v>237</v>
      </c>
      <c r="C109" s="135" t="s">
        <v>586</v>
      </c>
      <c r="D109" s="130"/>
      <c r="E109" s="11" t="s">
        <v>695</v>
      </c>
      <c r="F109" s="15">
        <v>73.99</v>
      </c>
      <c r="G109" s="15">
        <v>0</v>
      </c>
      <c r="H109" s="15">
        <f>F109*AO109</f>
        <v>0</v>
      </c>
      <c r="I109" s="15">
        <f>F109*AP109</f>
        <v>0</v>
      </c>
      <c r="J109" s="15">
        <f>F109*G109</f>
        <v>0</v>
      </c>
      <c r="K109" s="12" t="s">
        <v>406</v>
      </c>
      <c r="Z109" s="15">
        <f>IF(AQ109="5",BJ109,0)</f>
        <v>0</v>
      </c>
      <c r="AB109" s="15">
        <f>IF(AQ109="1",BH109,0)</f>
        <v>0</v>
      </c>
      <c r="AC109" s="15">
        <f>IF(AQ109="1",BI109,0)</f>
        <v>0</v>
      </c>
      <c r="AD109" s="15">
        <f>IF(AQ109="7",BH109,0)</f>
        <v>0</v>
      </c>
      <c r="AE109" s="15">
        <f>IF(AQ109="7",BI109,0)</f>
        <v>0</v>
      </c>
      <c r="AF109" s="15">
        <f>IF(AQ109="2",BH109,0)</f>
        <v>0</v>
      </c>
      <c r="AG109" s="15">
        <f>IF(AQ109="2",BI109,0)</f>
        <v>0</v>
      </c>
      <c r="AH109" s="15">
        <f>IF(AQ109="0",BJ109,0)</f>
        <v>0</v>
      </c>
      <c r="AI109" s="52" t="s">
        <v>566</v>
      </c>
      <c r="AJ109" s="15">
        <f>IF(AN109=0,J109,0)</f>
        <v>0</v>
      </c>
      <c r="AK109" s="15">
        <f>IF(AN109=12,J109,0)</f>
        <v>0</v>
      </c>
      <c r="AL109" s="15">
        <f>IF(AN109=21,J109,0)</f>
        <v>0</v>
      </c>
      <c r="AN109" s="15">
        <v>21</v>
      </c>
      <c r="AO109" s="15">
        <f>G109*0</f>
        <v>0</v>
      </c>
      <c r="AP109" s="15">
        <f>G109*(1-0)</f>
        <v>0</v>
      </c>
      <c r="AQ109" s="1" t="s">
        <v>831</v>
      </c>
      <c r="AV109" s="15">
        <f>AW109+AX109</f>
        <v>0</v>
      </c>
      <c r="AW109" s="15">
        <f>F109*AO109</f>
        <v>0</v>
      </c>
      <c r="AX109" s="15">
        <f>F109*AP109</f>
        <v>0</v>
      </c>
      <c r="AY109" s="1" t="s">
        <v>527</v>
      </c>
      <c r="AZ109" s="1" t="s">
        <v>912</v>
      </c>
      <c r="BA109" s="52" t="s">
        <v>870</v>
      </c>
      <c r="BC109" s="15">
        <f>AW109+AX109</f>
        <v>0</v>
      </c>
      <c r="BD109" s="15">
        <f>G109/(100-BE109)*100</f>
        <v>0</v>
      </c>
      <c r="BE109" s="15">
        <v>0</v>
      </c>
      <c r="BF109" s="15">
        <f>109</f>
        <v>109</v>
      </c>
      <c r="BH109" s="15">
        <f>F109*AO109</f>
        <v>0</v>
      </c>
      <c r="BI109" s="15">
        <f>F109*AP109</f>
        <v>0</v>
      </c>
      <c r="BJ109" s="15">
        <f>F109*G109</f>
        <v>0</v>
      </c>
      <c r="BK109" s="15"/>
      <c r="BL109" s="15">
        <v>762</v>
      </c>
      <c r="BW109" s="15">
        <v>21</v>
      </c>
    </row>
    <row r="110" spans="1:11" ht="15" customHeight="1">
      <c r="A110" s="53"/>
      <c r="C110" s="66" t="s">
        <v>441</v>
      </c>
      <c r="D110" s="18" t="s">
        <v>157</v>
      </c>
      <c r="F110" s="13">
        <v>73.99000000000001</v>
      </c>
      <c r="K110" s="32"/>
    </row>
    <row r="111" spans="1:75" ht="13.5" customHeight="1">
      <c r="A111" s="7" t="s">
        <v>195</v>
      </c>
      <c r="B111" s="11" t="s">
        <v>481</v>
      </c>
      <c r="C111" s="135" t="s">
        <v>291</v>
      </c>
      <c r="D111" s="130"/>
      <c r="E111" s="11" t="s">
        <v>695</v>
      </c>
      <c r="F111" s="15">
        <v>52.4</v>
      </c>
      <c r="G111" s="15">
        <v>0</v>
      </c>
      <c r="H111" s="15">
        <f>F111*AO111</f>
        <v>0</v>
      </c>
      <c r="I111" s="15">
        <f>F111*AP111</f>
        <v>0</v>
      </c>
      <c r="J111" s="15">
        <f>F111*G111</f>
        <v>0</v>
      </c>
      <c r="K111" s="12" t="s">
        <v>406</v>
      </c>
      <c r="Z111" s="15">
        <f>IF(AQ111="5",BJ111,0)</f>
        <v>0</v>
      </c>
      <c r="AB111" s="15">
        <f>IF(AQ111="1",BH111,0)</f>
        <v>0</v>
      </c>
      <c r="AC111" s="15">
        <f>IF(AQ111="1",BI111,0)</f>
        <v>0</v>
      </c>
      <c r="AD111" s="15">
        <f>IF(AQ111="7",BH111,0)</f>
        <v>0</v>
      </c>
      <c r="AE111" s="15">
        <f>IF(AQ111="7",BI111,0)</f>
        <v>0</v>
      </c>
      <c r="AF111" s="15">
        <f>IF(AQ111="2",BH111,0)</f>
        <v>0</v>
      </c>
      <c r="AG111" s="15">
        <f>IF(AQ111="2",BI111,0)</f>
        <v>0</v>
      </c>
      <c r="AH111" s="15">
        <f>IF(AQ111="0",BJ111,0)</f>
        <v>0</v>
      </c>
      <c r="AI111" s="52" t="s">
        <v>566</v>
      </c>
      <c r="AJ111" s="15">
        <f>IF(AN111=0,J111,0)</f>
        <v>0</v>
      </c>
      <c r="AK111" s="15">
        <f>IF(AN111=12,J111,0)</f>
        <v>0</v>
      </c>
      <c r="AL111" s="15">
        <f>IF(AN111=21,J111,0)</f>
        <v>0</v>
      </c>
      <c r="AN111" s="15">
        <v>21</v>
      </c>
      <c r="AO111" s="15">
        <f>G111*0</f>
        <v>0</v>
      </c>
      <c r="AP111" s="15">
        <f>G111*(1-0)</f>
        <v>0</v>
      </c>
      <c r="AQ111" s="1" t="s">
        <v>831</v>
      </c>
      <c r="AV111" s="15">
        <f>AW111+AX111</f>
        <v>0</v>
      </c>
      <c r="AW111" s="15">
        <f>F111*AO111</f>
        <v>0</v>
      </c>
      <c r="AX111" s="15">
        <f>F111*AP111</f>
        <v>0</v>
      </c>
      <c r="AY111" s="1" t="s">
        <v>527</v>
      </c>
      <c r="AZ111" s="1" t="s">
        <v>912</v>
      </c>
      <c r="BA111" s="52" t="s">
        <v>870</v>
      </c>
      <c r="BC111" s="15">
        <f>AW111+AX111</f>
        <v>0</v>
      </c>
      <c r="BD111" s="15">
        <f>G111/(100-BE111)*100</f>
        <v>0</v>
      </c>
      <c r="BE111" s="15">
        <v>0</v>
      </c>
      <c r="BF111" s="15">
        <f>111</f>
        <v>111</v>
      </c>
      <c r="BH111" s="15">
        <f>F111*AO111</f>
        <v>0</v>
      </c>
      <c r="BI111" s="15">
        <f>F111*AP111</f>
        <v>0</v>
      </c>
      <c r="BJ111" s="15">
        <f>F111*G111</f>
        <v>0</v>
      </c>
      <c r="BK111" s="15"/>
      <c r="BL111" s="15">
        <v>762</v>
      </c>
      <c r="BW111" s="15">
        <v>21</v>
      </c>
    </row>
    <row r="112" spans="1:11" ht="15" customHeight="1">
      <c r="A112" s="53"/>
      <c r="C112" s="66" t="s">
        <v>569</v>
      </c>
      <c r="D112" s="18" t="s">
        <v>157</v>
      </c>
      <c r="F112" s="13">
        <v>52.400000000000006</v>
      </c>
      <c r="K112" s="32"/>
    </row>
    <row r="113" spans="1:75" ht="13.5" customHeight="1">
      <c r="A113" s="7" t="s">
        <v>920</v>
      </c>
      <c r="B113" s="11" t="s">
        <v>765</v>
      </c>
      <c r="C113" s="135" t="s">
        <v>727</v>
      </c>
      <c r="D113" s="130"/>
      <c r="E113" s="11" t="s">
        <v>695</v>
      </c>
      <c r="F113" s="15">
        <v>550.18</v>
      </c>
      <c r="G113" s="15">
        <v>0</v>
      </c>
      <c r="H113" s="15">
        <f>F113*AO113</f>
        <v>0</v>
      </c>
      <c r="I113" s="15">
        <f>F113*AP113</f>
        <v>0</v>
      </c>
      <c r="J113" s="15">
        <f>F113*G113</f>
        <v>0</v>
      </c>
      <c r="K113" s="12" t="s">
        <v>406</v>
      </c>
      <c r="Z113" s="15">
        <f>IF(AQ113="5",BJ113,0)</f>
        <v>0</v>
      </c>
      <c r="AB113" s="15">
        <f>IF(AQ113="1",BH113,0)</f>
        <v>0</v>
      </c>
      <c r="AC113" s="15">
        <f>IF(AQ113="1",BI113,0)</f>
        <v>0</v>
      </c>
      <c r="AD113" s="15">
        <f>IF(AQ113="7",BH113,0)</f>
        <v>0</v>
      </c>
      <c r="AE113" s="15">
        <f>IF(AQ113="7",BI113,0)</f>
        <v>0</v>
      </c>
      <c r="AF113" s="15">
        <f>IF(AQ113="2",BH113,0)</f>
        <v>0</v>
      </c>
      <c r="AG113" s="15">
        <f>IF(AQ113="2",BI113,0)</f>
        <v>0</v>
      </c>
      <c r="AH113" s="15">
        <f>IF(AQ113="0",BJ113,0)</f>
        <v>0</v>
      </c>
      <c r="AI113" s="52" t="s">
        <v>566</v>
      </c>
      <c r="AJ113" s="15">
        <f>IF(AN113=0,J113,0)</f>
        <v>0</v>
      </c>
      <c r="AK113" s="15">
        <f>IF(AN113=12,J113,0)</f>
        <v>0</v>
      </c>
      <c r="AL113" s="15">
        <f>IF(AN113=21,J113,0)</f>
        <v>0</v>
      </c>
      <c r="AN113" s="15">
        <v>21</v>
      </c>
      <c r="AO113" s="15">
        <f>G113*0.556609294320138</f>
        <v>0</v>
      </c>
      <c r="AP113" s="15">
        <f>G113*(1-0.556609294320138)</f>
        <v>0</v>
      </c>
      <c r="AQ113" s="1" t="s">
        <v>831</v>
      </c>
      <c r="AV113" s="15">
        <f>AW113+AX113</f>
        <v>0</v>
      </c>
      <c r="AW113" s="15">
        <f>F113*AO113</f>
        <v>0</v>
      </c>
      <c r="AX113" s="15">
        <f>F113*AP113</f>
        <v>0</v>
      </c>
      <c r="AY113" s="1" t="s">
        <v>527</v>
      </c>
      <c r="AZ113" s="1" t="s">
        <v>912</v>
      </c>
      <c r="BA113" s="52" t="s">
        <v>870</v>
      </c>
      <c r="BC113" s="15">
        <f>AW113+AX113</f>
        <v>0</v>
      </c>
      <c r="BD113" s="15">
        <f>G113/(100-BE113)*100</f>
        <v>0</v>
      </c>
      <c r="BE113" s="15">
        <v>0</v>
      </c>
      <c r="BF113" s="15">
        <f>113</f>
        <v>113</v>
      </c>
      <c r="BH113" s="15">
        <f>F113*AO113</f>
        <v>0</v>
      </c>
      <c r="BI113" s="15">
        <f>F113*AP113</f>
        <v>0</v>
      </c>
      <c r="BJ113" s="15">
        <f>F113*G113</f>
        <v>0</v>
      </c>
      <c r="BK113" s="15"/>
      <c r="BL113" s="15">
        <v>762</v>
      </c>
      <c r="BW113" s="15">
        <v>21</v>
      </c>
    </row>
    <row r="114" spans="1:11" ht="13.5" customHeight="1">
      <c r="A114" s="53"/>
      <c r="C114" s="202" t="s">
        <v>281</v>
      </c>
      <c r="D114" s="211"/>
      <c r="E114" s="211"/>
      <c r="F114" s="211"/>
      <c r="G114" s="211"/>
      <c r="H114" s="211"/>
      <c r="I114" s="211"/>
      <c r="J114" s="211"/>
      <c r="K114" s="212"/>
    </row>
    <row r="115" spans="1:11" ht="15" customHeight="1">
      <c r="A115" s="53"/>
      <c r="C115" s="66" t="s">
        <v>356</v>
      </c>
      <c r="D115" s="18" t="s">
        <v>595</v>
      </c>
      <c r="F115" s="13">
        <v>452.02000000000004</v>
      </c>
      <c r="K115" s="32"/>
    </row>
    <row r="116" spans="1:11" ht="15" customHeight="1">
      <c r="A116" s="53"/>
      <c r="C116" s="66" t="s">
        <v>353</v>
      </c>
      <c r="D116" s="18" t="s">
        <v>42</v>
      </c>
      <c r="F116" s="13">
        <v>98.16000000000001</v>
      </c>
      <c r="K116" s="32"/>
    </row>
    <row r="117" spans="1:75" ht="13.5" customHeight="1">
      <c r="A117" s="7" t="s">
        <v>740</v>
      </c>
      <c r="B117" s="11" t="s">
        <v>8</v>
      </c>
      <c r="C117" s="135" t="s">
        <v>315</v>
      </c>
      <c r="D117" s="130"/>
      <c r="E117" s="11" t="s">
        <v>695</v>
      </c>
      <c r="F117" s="15">
        <v>36.9</v>
      </c>
      <c r="G117" s="15">
        <v>0</v>
      </c>
      <c r="H117" s="15">
        <f>F117*AO117</f>
        <v>0</v>
      </c>
      <c r="I117" s="15">
        <f>F117*AP117</f>
        <v>0</v>
      </c>
      <c r="J117" s="15">
        <f>F117*G117</f>
        <v>0</v>
      </c>
      <c r="K117" s="12" t="s">
        <v>406</v>
      </c>
      <c r="Z117" s="15">
        <f>IF(AQ117="5",BJ117,0)</f>
        <v>0</v>
      </c>
      <c r="AB117" s="15">
        <f>IF(AQ117="1",BH117,0)</f>
        <v>0</v>
      </c>
      <c r="AC117" s="15">
        <f>IF(AQ117="1",BI117,0)</f>
        <v>0</v>
      </c>
      <c r="AD117" s="15">
        <f>IF(AQ117="7",BH117,0)</f>
        <v>0</v>
      </c>
      <c r="AE117" s="15">
        <f>IF(AQ117="7",BI117,0)</f>
        <v>0</v>
      </c>
      <c r="AF117" s="15">
        <f>IF(AQ117="2",BH117,0)</f>
        <v>0</v>
      </c>
      <c r="AG117" s="15">
        <f>IF(AQ117="2",BI117,0)</f>
        <v>0</v>
      </c>
      <c r="AH117" s="15">
        <f>IF(AQ117="0",BJ117,0)</f>
        <v>0</v>
      </c>
      <c r="AI117" s="52" t="s">
        <v>566</v>
      </c>
      <c r="AJ117" s="15">
        <f>IF(AN117=0,J117,0)</f>
        <v>0</v>
      </c>
      <c r="AK117" s="15">
        <f>IF(AN117=12,J117,0)</f>
        <v>0</v>
      </c>
      <c r="AL117" s="15">
        <f>IF(AN117=21,J117,0)</f>
        <v>0</v>
      </c>
      <c r="AN117" s="15">
        <v>21</v>
      </c>
      <c r="AO117" s="15">
        <f>G117*0.557749029754204</f>
        <v>0</v>
      </c>
      <c r="AP117" s="15">
        <f>G117*(1-0.557749029754204)</f>
        <v>0</v>
      </c>
      <c r="AQ117" s="1" t="s">
        <v>831</v>
      </c>
      <c r="AV117" s="15">
        <f>AW117+AX117</f>
        <v>0</v>
      </c>
      <c r="AW117" s="15">
        <f>F117*AO117</f>
        <v>0</v>
      </c>
      <c r="AX117" s="15">
        <f>F117*AP117</f>
        <v>0</v>
      </c>
      <c r="AY117" s="1" t="s">
        <v>527</v>
      </c>
      <c r="AZ117" s="1" t="s">
        <v>912</v>
      </c>
      <c r="BA117" s="52" t="s">
        <v>870</v>
      </c>
      <c r="BC117" s="15">
        <f>AW117+AX117</f>
        <v>0</v>
      </c>
      <c r="BD117" s="15">
        <f>G117/(100-BE117)*100</f>
        <v>0</v>
      </c>
      <c r="BE117" s="15">
        <v>0</v>
      </c>
      <c r="BF117" s="15">
        <f>117</f>
        <v>117</v>
      </c>
      <c r="BH117" s="15">
        <f>F117*AO117</f>
        <v>0</v>
      </c>
      <c r="BI117" s="15">
        <f>F117*AP117</f>
        <v>0</v>
      </c>
      <c r="BJ117" s="15">
        <f>F117*G117</f>
        <v>0</v>
      </c>
      <c r="BK117" s="15"/>
      <c r="BL117" s="15">
        <v>762</v>
      </c>
      <c r="BW117" s="15">
        <v>21</v>
      </c>
    </row>
    <row r="118" spans="1:11" ht="13.5" customHeight="1">
      <c r="A118" s="53"/>
      <c r="C118" s="202" t="s">
        <v>935</v>
      </c>
      <c r="D118" s="211"/>
      <c r="E118" s="211"/>
      <c r="F118" s="211"/>
      <c r="G118" s="211"/>
      <c r="H118" s="211"/>
      <c r="I118" s="211"/>
      <c r="J118" s="211"/>
      <c r="K118" s="212"/>
    </row>
    <row r="119" spans="1:11" ht="15" customHeight="1">
      <c r="A119" s="53"/>
      <c r="C119" s="66" t="s">
        <v>137</v>
      </c>
      <c r="D119" s="18" t="s">
        <v>595</v>
      </c>
      <c r="F119" s="13">
        <v>14.9</v>
      </c>
      <c r="K119" s="32"/>
    </row>
    <row r="120" spans="1:11" ht="15" customHeight="1">
      <c r="A120" s="53"/>
      <c r="C120" s="66" t="s">
        <v>352</v>
      </c>
      <c r="D120" s="18" t="s">
        <v>42</v>
      </c>
      <c r="F120" s="13">
        <v>22.000000000000004</v>
      </c>
      <c r="K120" s="32"/>
    </row>
    <row r="121" spans="1:75" ht="13.5" customHeight="1">
      <c r="A121" s="7" t="s">
        <v>497</v>
      </c>
      <c r="B121" s="11" t="s">
        <v>78</v>
      </c>
      <c r="C121" s="135" t="s">
        <v>1</v>
      </c>
      <c r="D121" s="130"/>
      <c r="E121" s="11" t="s">
        <v>695</v>
      </c>
      <c r="F121" s="15">
        <v>123.91</v>
      </c>
      <c r="G121" s="15">
        <v>0</v>
      </c>
      <c r="H121" s="15">
        <f>F121*AO121</f>
        <v>0</v>
      </c>
      <c r="I121" s="15">
        <f>F121*AP121</f>
        <v>0</v>
      </c>
      <c r="J121" s="15">
        <f>F121*G121</f>
        <v>0</v>
      </c>
      <c r="K121" s="12" t="s">
        <v>406</v>
      </c>
      <c r="Z121" s="15">
        <f>IF(AQ121="5",BJ121,0)</f>
        <v>0</v>
      </c>
      <c r="AB121" s="15">
        <f>IF(AQ121="1",BH121,0)</f>
        <v>0</v>
      </c>
      <c r="AC121" s="15">
        <f>IF(AQ121="1",BI121,0)</f>
        <v>0</v>
      </c>
      <c r="AD121" s="15">
        <f>IF(AQ121="7",BH121,0)</f>
        <v>0</v>
      </c>
      <c r="AE121" s="15">
        <f>IF(AQ121="7",BI121,0)</f>
        <v>0</v>
      </c>
      <c r="AF121" s="15">
        <f>IF(AQ121="2",BH121,0)</f>
        <v>0</v>
      </c>
      <c r="AG121" s="15">
        <f>IF(AQ121="2",BI121,0)</f>
        <v>0</v>
      </c>
      <c r="AH121" s="15">
        <f>IF(AQ121="0",BJ121,0)</f>
        <v>0</v>
      </c>
      <c r="AI121" s="52" t="s">
        <v>566</v>
      </c>
      <c r="AJ121" s="15">
        <f>IF(AN121=0,J121,0)</f>
        <v>0</v>
      </c>
      <c r="AK121" s="15">
        <f>IF(AN121=12,J121,0)</f>
        <v>0</v>
      </c>
      <c r="AL121" s="15">
        <f>IF(AN121=21,J121,0)</f>
        <v>0</v>
      </c>
      <c r="AN121" s="15">
        <v>21</v>
      </c>
      <c r="AO121" s="15">
        <f>G121*0.647257142857143</f>
        <v>0</v>
      </c>
      <c r="AP121" s="15">
        <f>G121*(1-0.647257142857143)</f>
        <v>0</v>
      </c>
      <c r="AQ121" s="1" t="s">
        <v>831</v>
      </c>
      <c r="AV121" s="15">
        <f>AW121+AX121</f>
        <v>0</v>
      </c>
      <c r="AW121" s="15">
        <f>F121*AO121</f>
        <v>0</v>
      </c>
      <c r="AX121" s="15">
        <f>F121*AP121</f>
        <v>0</v>
      </c>
      <c r="AY121" s="1" t="s">
        <v>527</v>
      </c>
      <c r="AZ121" s="1" t="s">
        <v>912</v>
      </c>
      <c r="BA121" s="52" t="s">
        <v>870</v>
      </c>
      <c r="BC121" s="15">
        <f>AW121+AX121</f>
        <v>0</v>
      </c>
      <c r="BD121" s="15">
        <f>G121/(100-BE121)*100</f>
        <v>0</v>
      </c>
      <c r="BE121" s="15">
        <v>0</v>
      </c>
      <c r="BF121" s="15">
        <f>121</f>
        <v>121</v>
      </c>
      <c r="BH121" s="15">
        <f>F121*AO121</f>
        <v>0</v>
      </c>
      <c r="BI121" s="15">
        <f>F121*AP121</f>
        <v>0</v>
      </c>
      <c r="BJ121" s="15">
        <f>F121*G121</f>
        <v>0</v>
      </c>
      <c r="BK121" s="15"/>
      <c r="BL121" s="15">
        <v>762</v>
      </c>
      <c r="BW121" s="15">
        <v>21</v>
      </c>
    </row>
    <row r="122" spans="1:11" ht="13.5" customHeight="1">
      <c r="A122" s="53"/>
      <c r="C122" s="202" t="s">
        <v>880</v>
      </c>
      <c r="D122" s="211"/>
      <c r="E122" s="211"/>
      <c r="F122" s="211"/>
      <c r="G122" s="211"/>
      <c r="H122" s="211"/>
      <c r="I122" s="211"/>
      <c r="J122" s="211"/>
      <c r="K122" s="212"/>
    </row>
    <row r="123" spans="1:11" ht="15" customHeight="1">
      <c r="A123" s="53"/>
      <c r="C123" s="66" t="s">
        <v>252</v>
      </c>
      <c r="D123" s="18" t="s">
        <v>20</v>
      </c>
      <c r="F123" s="13">
        <v>111.01</v>
      </c>
      <c r="K123" s="32"/>
    </row>
    <row r="124" spans="1:11" ht="15" customHeight="1">
      <c r="A124" s="53"/>
      <c r="C124" s="66" t="s">
        <v>278</v>
      </c>
      <c r="D124" s="18" t="s">
        <v>42</v>
      </c>
      <c r="F124" s="13">
        <v>12.9</v>
      </c>
      <c r="K124" s="32"/>
    </row>
    <row r="125" spans="1:75" ht="13.5" customHeight="1">
      <c r="A125" s="7" t="s">
        <v>817</v>
      </c>
      <c r="B125" s="11" t="s">
        <v>249</v>
      </c>
      <c r="C125" s="135" t="s">
        <v>18</v>
      </c>
      <c r="D125" s="130"/>
      <c r="E125" s="11" t="s">
        <v>807</v>
      </c>
      <c r="F125" s="15">
        <v>21.7</v>
      </c>
      <c r="G125" s="15">
        <v>0</v>
      </c>
      <c r="H125" s="15">
        <f>F125*AO125</f>
        <v>0</v>
      </c>
      <c r="I125" s="15">
        <f>F125*AP125</f>
        <v>0</v>
      </c>
      <c r="J125" s="15">
        <f>F125*G125</f>
        <v>0</v>
      </c>
      <c r="K125" s="12" t="s">
        <v>406</v>
      </c>
      <c r="Z125" s="15">
        <f>IF(AQ125="5",BJ125,0)</f>
        <v>0</v>
      </c>
      <c r="AB125" s="15">
        <f>IF(AQ125="1",BH125,0)</f>
        <v>0</v>
      </c>
      <c r="AC125" s="15">
        <f>IF(AQ125="1",BI125,0)</f>
        <v>0</v>
      </c>
      <c r="AD125" s="15">
        <f>IF(AQ125="7",BH125,0)</f>
        <v>0</v>
      </c>
      <c r="AE125" s="15">
        <f>IF(AQ125="7",BI125,0)</f>
        <v>0</v>
      </c>
      <c r="AF125" s="15">
        <f>IF(AQ125="2",BH125,0)</f>
        <v>0</v>
      </c>
      <c r="AG125" s="15">
        <f>IF(AQ125="2",BI125,0)</f>
        <v>0</v>
      </c>
      <c r="AH125" s="15">
        <f>IF(AQ125="0",BJ125,0)</f>
        <v>0</v>
      </c>
      <c r="AI125" s="52" t="s">
        <v>566</v>
      </c>
      <c r="AJ125" s="15">
        <f>IF(AN125=0,J125,0)</f>
        <v>0</v>
      </c>
      <c r="AK125" s="15">
        <f>IF(AN125=12,J125,0)</f>
        <v>0</v>
      </c>
      <c r="AL125" s="15">
        <f>IF(AN125=21,J125,0)</f>
        <v>0</v>
      </c>
      <c r="AN125" s="15">
        <v>21</v>
      </c>
      <c r="AO125" s="15">
        <f>G125*0.988434370057986</f>
        <v>0</v>
      </c>
      <c r="AP125" s="15">
        <f>G125*(1-0.988434370057986)</f>
        <v>0</v>
      </c>
      <c r="AQ125" s="1" t="s">
        <v>831</v>
      </c>
      <c r="AV125" s="15">
        <f>AW125+AX125</f>
        <v>0</v>
      </c>
      <c r="AW125" s="15">
        <f>F125*AO125</f>
        <v>0</v>
      </c>
      <c r="AX125" s="15">
        <f>F125*AP125</f>
        <v>0</v>
      </c>
      <c r="AY125" s="1" t="s">
        <v>527</v>
      </c>
      <c r="AZ125" s="1" t="s">
        <v>912</v>
      </c>
      <c r="BA125" s="52" t="s">
        <v>870</v>
      </c>
      <c r="BC125" s="15">
        <f>AW125+AX125</f>
        <v>0</v>
      </c>
      <c r="BD125" s="15">
        <f>G125/(100-BE125)*100</f>
        <v>0</v>
      </c>
      <c r="BE125" s="15">
        <v>0</v>
      </c>
      <c r="BF125" s="15">
        <f>125</f>
        <v>125</v>
      </c>
      <c r="BH125" s="15">
        <f>F125*AO125</f>
        <v>0</v>
      </c>
      <c r="BI125" s="15">
        <f>F125*AP125</f>
        <v>0</v>
      </c>
      <c r="BJ125" s="15">
        <f>F125*G125</f>
        <v>0</v>
      </c>
      <c r="BK125" s="15"/>
      <c r="BL125" s="15">
        <v>762</v>
      </c>
      <c r="BW125" s="15">
        <v>21</v>
      </c>
    </row>
    <row r="126" spans="1:11" ht="13.5" customHeight="1">
      <c r="A126" s="53"/>
      <c r="C126" s="202" t="s">
        <v>806</v>
      </c>
      <c r="D126" s="211"/>
      <c r="E126" s="211"/>
      <c r="F126" s="211"/>
      <c r="G126" s="211"/>
      <c r="H126" s="211"/>
      <c r="I126" s="211"/>
      <c r="J126" s="211"/>
      <c r="K126" s="212"/>
    </row>
    <row r="127" spans="1:11" ht="15" customHeight="1">
      <c r="A127" s="53"/>
      <c r="C127" s="66" t="s">
        <v>71</v>
      </c>
      <c r="D127" s="18" t="s">
        <v>537</v>
      </c>
      <c r="F127" s="13">
        <v>8.290000000000001</v>
      </c>
      <c r="K127" s="32"/>
    </row>
    <row r="128" spans="1:11" ht="15" customHeight="1">
      <c r="A128" s="53"/>
      <c r="C128" s="66" t="s">
        <v>627</v>
      </c>
      <c r="D128" s="18" t="s">
        <v>42</v>
      </c>
      <c r="F128" s="13">
        <v>1.61</v>
      </c>
      <c r="K128" s="32"/>
    </row>
    <row r="129" spans="1:11" ht="15" customHeight="1">
      <c r="A129" s="53"/>
      <c r="C129" s="66" t="s">
        <v>99</v>
      </c>
      <c r="D129" s="18" t="s">
        <v>185</v>
      </c>
      <c r="F129" s="13">
        <v>0.38</v>
      </c>
      <c r="K129" s="32"/>
    </row>
    <row r="130" spans="1:11" ht="15" customHeight="1">
      <c r="A130" s="53"/>
      <c r="C130" s="66" t="s">
        <v>832</v>
      </c>
      <c r="D130" s="18" t="s">
        <v>42</v>
      </c>
      <c r="F130" s="13">
        <v>0.6100000000000001</v>
      </c>
      <c r="K130" s="32"/>
    </row>
    <row r="131" spans="1:11" ht="15" customHeight="1">
      <c r="A131" s="53"/>
      <c r="C131" s="66" t="s">
        <v>314</v>
      </c>
      <c r="D131" s="18" t="s">
        <v>75</v>
      </c>
      <c r="F131" s="13">
        <v>4.32</v>
      </c>
      <c r="K131" s="32"/>
    </row>
    <row r="132" spans="1:11" ht="15" customHeight="1">
      <c r="A132" s="53"/>
      <c r="C132" s="66" t="s">
        <v>106</v>
      </c>
      <c r="D132" s="18" t="s">
        <v>42</v>
      </c>
      <c r="F132" s="13">
        <v>0.46</v>
      </c>
      <c r="K132" s="32"/>
    </row>
    <row r="133" spans="1:11" ht="15" customHeight="1">
      <c r="A133" s="53"/>
      <c r="C133" s="66" t="s">
        <v>827</v>
      </c>
      <c r="D133" s="18" t="s">
        <v>103</v>
      </c>
      <c r="F133" s="13">
        <v>4.840000000000001</v>
      </c>
      <c r="K133" s="32"/>
    </row>
    <row r="134" spans="1:11" ht="15" customHeight="1">
      <c r="A134" s="53"/>
      <c r="C134" s="66" t="s">
        <v>216</v>
      </c>
      <c r="D134" s="18" t="s">
        <v>768</v>
      </c>
      <c r="F134" s="13">
        <v>0.49000000000000005</v>
      </c>
      <c r="K134" s="32"/>
    </row>
    <row r="135" spans="1:11" ht="15" customHeight="1">
      <c r="A135" s="53"/>
      <c r="C135" s="66" t="s">
        <v>138</v>
      </c>
      <c r="D135" s="18" t="s">
        <v>219</v>
      </c>
      <c r="F135" s="13">
        <v>0.7000000000000001</v>
      </c>
      <c r="K135" s="32"/>
    </row>
    <row r="136" spans="1:75" ht="13.5" customHeight="1">
      <c r="A136" s="7" t="s">
        <v>507</v>
      </c>
      <c r="B136" s="11" t="s">
        <v>826</v>
      </c>
      <c r="C136" s="135" t="s">
        <v>744</v>
      </c>
      <c r="D136" s="130"/>
      <c r="E136" s="11" t="s">
        <v>819</v>
      </c>
      <c r="F136" s="15">
        <v>450.31</v>
      </c>
      <c r="G136" s="15">
        <v>0</v>
      </c>
      <c r="H136" s="15">
        <f>F136*AO136</f>
        <v>0</v>
      </c>
      <c r="I136" s="15">
        <f>F136*AP136</f>
        <v>0</v>
      </c>
      <c r="J136" s="15">
        <f>F136*G136</f>
        <v>0</v>
      </c>
      <c r="K136" s="12" t="s">
        <v>406</v>
      </c>
      <c r="Z136" s="15">
        <f>IF(AQ136="5",BJ136,0)</f>
        <v>0</v>
      </c>
      <c r="AB136" s="15">
        <f>IF(AQ136="1",BH136,0)</f>
        <v>0</v>
      </c>
      <c r="AC136" s="15">
        <f>IF(AQ136="1",BI136,0)</f>
        <v>0</v>
      </c>
      <c r="AD136" s="15">
        <f>IF(AQ136="7",BH136,0)</f>
        <v>0</v>
      </c>
      <c r="AE136" s="15">
        <f>IF(AQ136="7",BI136,0)</f>
        <v>0</v>
      </c>
      <c r="AF136" s="15">
        <f>IF(AQ136="2",BH136,0)</f>
        <v>0</v>
      </c>
      <c r="AG136" s="15">
        <f>IF(AQ136="2",BI136,0)</f>
        <v>0</v>
      </c>
      <c r="AH136" s="15">
        <f>IF(AQ136="0",BJ136,0)</f>
        <v>0</v>
      </c>
      <c r="AI136" s="52" t="s">
        <v>566</v>
      </c>
      <c r="AJ136" s="15">
        <f>IF(AN136=0,J136,0)</f>
        <v>0</v>
      </c>
      <c r="AK136" s="15">
        <f>IF(AN136=12,J136,0)</f>
        <v>0</v>
      </c>
      <c r="AL136" s="15">
        <f>IF(AN136=21,J136,0)</f>
        <v>0</v>
      </c>
      <c r="AN136" s="15">
        <v>21</v>
      </c>
      <c r="AO136" s="15">
        <f>G136*0</f>
        <v>0</v>
      </c>
      <c r="AP136" s="15">
        <f>G136*(1-0)</f>
        <v>0</v>
      </c>
      <c r="AQ136" s="1" t="s">
        <v>831</v>
      </c>
      <c r="AV136" s="15">
        <f>AW136+AX136</f>
        <v>0</v>
      </c>
      <c r="AW136" s="15">
        <f>F136*AO136</f>
        <v>0</v>
      </c>
      <c r="AX136" s="15">
        <f>F136*AP136</f>
        <v>0</v>
      </c>
      <c r="AY136" s="1" t="s">
        <v>527</v>
      </c>
      <c r="AZ136" s="1" t="s">
        <v>912</v>
      </c>
      <c r="BA136" s="52" t="s">
        <v>870</v>
      </c>
      <c r="BC136" s="15">
        <f>AW136+AX136</f>
        <v>0</v>
      </c>
      <c r="BD136" s="15">
        <f>G136/(100-BE136)*100</f>
        <v>0</v>
      </c>
      <c r="BE136" s="15">
        <v>0</v>
      </c>
      <c r="BF136" s="15">
        <f>136</f>
        <v>136</v>
      </c>
      <c r="BH136" s="15">
        <f>F136*AO136</f>
        <v>0</v>
      </c>
      <c r="BI136" s="15">
        <f>F136*AP136</f>
        <v>0</v>
      </c>
      <c r="BJ136" s="15">
        <f>F136*G136</f>
        <v>0</v>
      </c>
      <c r="BK136" s="15"/>
      <c r="BL136" s="15">
        <v>762</v>
      </c>
      <c r="BW136" s="15">
        <v>21</v>
      </c>
    </row>
    <row r="137" spans="1:11" ht="15" customHeight="1">
      <c r="A137" s="53"/>
      <c r="C137" s="66" t="s">
        <v>227</v>
      </c>
      <c r="D137" s="18" t="s">
        <v>385</v>
      </c>
      <c r="F137" s="13">
        <v>0</v>
      </c>
      <c r="K137" s="32"/>
    </row>
    <row r="138" spans="1:11" ht="15" customHeight="1">
      <c r="A138" s="53"/>
      <c r="C138" s="66" t="s">
        <v>904</v>
      </c>
      <c r="D138" s="18" t="s">
        <v>577</v>
      </c>
      <c r="F138" s="13">
        <v>31.500000000000004</v>
      </c>
      <c r="K138" s="32"/>
    </row>
    <row r="139" spans="1:11" ht="15" customHeight="1">
      <c r="A139" s="53"/>
      <c r="C139" s="66" t="s">
        <v>152</v>
      </c>
      <c r="D139" s="18" t="s">
        <v>577</v>
      </c>
      <c r="F139" s="13">
        <v>9.600000000000001</v>
      </c>
      <c r="K139" s="32"/>
    </row>
    <row r="140" spans="1:11" ht="15" customHeight="1">
      <c r="A140" s="53"/>
      <c r="C140" s="66" t="s">
        <v>184</v>
      </c>
      <c r="D140" s="18" t="s">
        <v>577</v>
      </c>
      <c r="F140" s="13">
        <v>15.600000000000001</v>
      </c>
      <c r="K140" s="32"/>
    </row>
    <row r="141" spans="1:11" ht="15" customHeight="1">
      <c r="A141" s="53"/>
      <c r="C141" s="66" t="s">
        <v>7</v>
      </c>
      <c r="D141" s="18" t="s">
        <v>577</v>
      </c>
      <c r="F141" s="13">
        <v>24.12</v>
      </c>
      <c r="K141" s="32"/>
    </row>
    <row r="142" spans="1:11" ht="15" customHeight="1">
      <c r="A142" s="53"/>
      <c r="C142" s="66" t="s">
        <v>283</v>
      </c>
      <c r="D142" s="18" t="s">
        <v>577</v>
      </c>
      <c r="F142" s="13">
        <v>31.680000000000003</v>
      </c>
      <c r="K142" s="32"/>
    </row>
    <row r="143" spans="1:11" ht="15" customHeight="1">
      <c r="A143" s="53"/>
      <c r="C143" s="66" t="s">
        <v>84</v>
      </c>
      <c r="D143" s="18" t="s">
        <v>577</v>
      </c>
      <c r="F143" s="13">
        <v>93.80000000000001</v>
      </c>
      <c r="K143" s="32"/>
    </row>
    <row r="144" spans="1:11" ht="15" customHeight="1">
      <c r="A144" s="53"/>
      <c r="C144" s="66" t="s">
        <v>788</v>
      </c>
      <c r="D144" s="18" t="s">
        <v>577</v>
      </c>
      <c r="F144" s="13">
        <v>14.4</v>
      </c>
      <c r="K144" s="32"/>
    </row>
    <row r="145" spans="1:11" ht="15" customHeight="1">
      <c r="A145" s="53"/>
      <c r="C145" s="66" t="s">
        <v>558</v>
      </c>
      <c r="D145" s="18" t="s">
        <v>577</v>
      </c>
      <c r="F145" s="13">
        <v>40.56</v>
      </c>
      <c r="K145" s="32"/>
    </row>
    <row r="146" spans="1:11" ht="15" customHeight="1">
      <c r="A146" s="53"/>
      <c r="C146" s="66" t="s">
        <v>725</v>
      </c>
      <c r="D146" s="18" t="s">
        <v>577</v>
      </c>
      <c r="F146" s="13">
        <v>11.520000000000001</v>
      </c>
      <c r="K146" s="32"/>
    </row>
    <row r="147" spans="1:11" ht="15" customHeight="1">
      <c r="A147" s="53"/>
      <c r="C147" s="66" t="s">
        <v>180</v>
      </c>
      <c r="D147" s="18" t="s">
        <v>577</v>
      </c>
      <c r="F147" s="13">
        <v>0</v>
      </c>
      <c r="K147" s="32"/>
    </row>
    <row r="148" spans="1:11" ht="15" customHeight="1">
      <c r="A148" s="53"/>
      <c r="C148" s="66" t="s">
        <v>458</v>
      </c>
      <c r="D148" s="18" t="s">
        <v>577</v>
      </c>
      <c r="F148" s="13">
        <v>6.010000000000001</v>
      </c>
      <c r="K148" s="32"/>
    </row>
    <row r="149" spans="1:11" ht="15" customHeight="1">
      <c r="A149" s="53"/>
      <c r="C149" s="66" t="s">
        <v>89</v>
      </c>
      <c r="D149" s="18" t="s">
        <v>577</v>
      </c>
      <c r="F149" s="13">
        <v>6.48</v>
      </c>
      <c r="K149" s="32"/>
    </row>
    <row r="150" spans="1:11" ht="15" customHeight="1">
      <c r="A150" s="53"/>
      <c r="C150" s="66" t="s">
        <v>560</v>
      </c>
      <c r="D150" s="18" t="s">
        <v>577</v>
      </c>
      <c r="F150" s="13">
        <v>8.64</v>
      </c>
      <c r="K150" s="32"/>
    </row>
    <row r="151" spans="1:11" ht="15" customHeight="1">
      <c r="A151" s="53"/>
      <c r="C151" s="66" t="s">
        <v>928</v>
      </c>
      <c r="D151" s="18" t="s">
        <v>577</v>
      </c>
      <c r="F151" s="13">
        <v>10.360000000000001</v>
      </c>
      <c r="K151" s="32"/>
    </row>
    <row r="152" spans="1:11" ht="15" customHeight="1">
      <c r="A152" s="53"/>
      <c r="C152" s="66" t="s">
        <v>681</v>
      </c>
      <c r="D152" s="18" t="s">
        <v>577</v>
      </c>
      <c r="F152" s="13">
        <v>4.2</v>
      </c>
      <c r="K152" s="32"/>
    </row>
    <row r="153" spans="1:11" ht="15" customHeight="1">
      <c r="A153" s="53"/>
      <c r="C153" s="66" t="s">
        <v>905</v>
      </c>
      <c r="D153" s="18" t="s">
        <v>577</v>
      </c>
      <c r="F153" s="13">
        <v>5.720000000000001</v>
      </c>
      <c r="K153" s="32"/>
    </row>
    <row r="154" spans="1:11" ht="15" customHeight="1">
      <c r="A154" s="53"/>
      <c r="C154" s="66" t="s">
        <v>176</v>
      </c>
      <c r="D154" s="18" t="s">
        <v>577</v>
      </c>
      <c r="F154" s="13">
        <v>0</v>
      </c>
      <c r="K154" s="32"/>
    </row>
    <row r="155" spans="1:11" ht="15" customHeight="1">
      <c r="A155" s="53"/>
      <c r="C155" s="66" t="s">
        <v>685</v>
      </c>
      <c r="D155" s="18" t="s">
        <v>577</v>
      </c>
      <c r="F155" s="13">
        <v>12.000000000000002</v>
      </c>
      <c r="K155" s="32"/>
    </row>
    <row r="156" spans="1:11" ht="15" customHeight="1">
      <c r="A156" s="53"/>
      <c r="C156" s="66" t="s">
        <v>190</v>
      </c>
      <c r="D156" s="18" t="s">
        <v>577</v>
      </c>
      <c r="F156" s="13">
        <v>5.12</v>
      </c>
      <c r="K156" s="32"/>
    </row>
    <row r="157" spans="1:11" ht="15" customHeight="1">
      <c r="A157" s="53"/>
      <c r="C157" s="66" t="s">
        <v>422</v>
      </c>
      <c r="D157" s="18" t="s">
        <v>577</v>
      </c>
      <c r="F157" s="13">
        <v>3.2</v>
      </c>
      <c r="K157" s="32"/>
    </row>
    <row r="158" spans="1:11" ht="15" customHeight="1">
      <c r="A158" s="53"/>
      <c r="C158" s="66" t="s">
        <v>36</v>
      </c>
      <c r="D158" s="18" t="s">
        <v>577</v>
      </c>
      <c r="F158" s="13">
        <v>6.840000000000001</v>
      </c>
      <c r="K158" s="32"/>
    </row>
    <row r="159" spans="1:11" ht="15" customHeight="1">
      <c r="A159" s="53"/>
      <c r="C159" s="66" t="s">
        <v>573</v>
      </c>
      <c r="D159" s="18" t="s">
        <v>577</v>
      </c>
      <c r="F159" s="13">
        <v>10.24</v>
      </c>
      <c r="K159" s="32"/>
    </row>
    <row r="160" spans="1:11" ht="15" customHeight="1">
      <c r="A160" s="53"/>
      <c r="C160" s="66" t="s">
        <v>671</v>
      </c>
      <c r="D160" s="18" t="s">
        <v>577</v>
      </c>
      <c r="F160" s="13">
        <v>2.8800000000000003</v>
      </c>
      <c r="K160" s="32"/>
    </row>
    <row r="161" spans="1:11" ht="15" customHeight="1">
      <c r="A161" s="53"/>
      <c r="C161" s="66" t="s">
        <v>452</v>
      </c>
      <c r="D161" s="18" t="s">
        <v>577</v>
      </c>
      <c r="F161" s="13">
        <v>41.6</v>
      </c>
      <c r="K161" s="32"/>
    </row>
    <row r="162" spans="1:11" ht="15" customHeight="1">
      <c r="A162" s="53"/>
      <c r="C162" s="66" t="s">
        <v>615</v>
      </c>
      <c r="D162" s="18" t="s">
        <v>577</v>
      </c>
      <c r="F162" s="13">
        <v>24.000000000000004</v>
      </c>
      <c r="K162" s="32"/>
    </row>
    <row r="163" spans="1:11" ht="15" customHeight="1">
      <c r="A163" s="53"/>
      <c r="C163" s="66" t="s">
        <v>229</v>
      </c>
      <c r="D163" s="18" t="s">
        <v>577</v>
      </c>
      <c r="F163" s="13">
        <v>30.240000000000002</v>
      </c>
      <c r="K163" s="32"/>
    </row>
    <row r="164" spans="1:75" ht="13.5" customHeight="1">
      <c r="A164" s="7" t="s">
        <v>540</v>
      </c>
      <c r="B164" s="11" t="s">
        <v>104</v>
      </c>
      <c r="C164" s="135" t="s">
        <v>15</v>
      </c>
      <c r="D164" s="130"/>
      <c r="E164" s="11" t="s">
        <v>695</v>
      </c>
      <c r="F164" s="15">
        <v>550.18</v>
      </c>
      <c r="G164" s="15">
        <v>0</v>
      </c>
      <c r="H164" s="15">
        <f>F164*AO164</f>
        <v>0</v>
      </c>
      <c r="I164" s="15">
        <f>F164*AP164</f>
        <v>0</v>
      </c>
      <c r="J164" s="15">
        <f>F164*G164</f>
        <v>0</v>
      </c>
      <c r="K164" s="12" t="s">
        <v>406</v>
      </c>
      <c r="Z164" s="15">
        <f>IF(AQ164="5",BJ164,0)</f>
        <v>0</v>
      </c>
      <c r="AB164" s="15">
        <f>IF(AQ164="1",BH164,0)</f>
        <v>0</v>
      </c>
      <c r="AC164" s="15">
        <f>IF(AQ164="1",BI164,0)</f>
        <v>0</v>
      </c>
      <c r="AD164" s="15">
        <f>IF(AQ164="7",BH164,0)</f>
        <v>0</v>
      </c>
      <c r="AE164" s="15">
        <f>IF(AQ164="7",BI164,0)</f>
        <v>0</v>
      </c>
      <c r="AF164" s="15">
        <f>IF(AQ164="2",BH164,0)</f>
        <v>0</v>
      </c>
      <c r="AG164" s="15">
        <f>IF(AQ164="2",BI164,0)</f>
        <v>0</v>
      </c>
      <c r="AH164" s="15">
        <f>IF(AQ164="0",BJ164,0)</f>
        <v>0</v>
      </c>
      <c r="AI164" s="52" t="s">
        <v>566</v>
      </c>
      <c r="AJ164" s="15">
        <f>IF(AN164=0,J164,0)</f>
        <v>0</v>
      </c>
      <c r="AK164" s="15">
        <f>IF(AN164=12,J164,0)</f>
        <v>0</v>
      </c>
      <c r="AL164" s="15">
        <f>IF(AN164=21,J164,0)</f>
        <v>0</v>
      </c>
      <c r="AN164" s="15">
        <v>21</v>
      </c>
      <c r="AO164" s="15">
        <f>G164*0</f>
        <v>0</v>
      </c>
      <c r="AP164" s="15">
        <f>G164*(1-0)</f>
        <v>0</v>
      </c>
      <c r="AQ164" s="1" t="s">
        <v>831</v>
      </c>
      <c r="AV164" s="15">
        <f>AW164+AX164</f>
        <v>0</v>
      </c>
      <c r="AW164" s="15">
        <f>F164*AO164</f>
        <v>0</v>
      </c>
      <c r="AX164" s="15">
        <f>F164*AP164</f>
        <v>0</v>
      </c>
      <c r="AY164" s="1" t="s">
        <v>527</v>
      </c>
      <c r="AZ164" s="1" t="s">
        <v>912</v>
      </c>
      <c r="BA164" s="52" t="s">
        <v>870</v>
      </c>
      <c r="BC164" s="15">
        <f>AW164+AX164</f>
        <v>0</v>
      </c>
      <c r="BD164" s="15">
        <f>G164/(100-BE164)*100</f>
        <v>0</v>
      </c>
      <c r="BE164" s="15">
        <v>0</v>
      </c>
      <c r="BF164" s="15">
        <f>164</f>
        <v>164</v>
      </c>
      <c r="BH164" s="15">
        <f>F164*AO164</f>
        <v>0</v>
      </c>
      <c r="BI164" s="15">
        <f>F164*AP164</f>
        <v>0</v>
      </c>
      <c r="BJ164" s="15">
        <f>F164*G164</f>
        <v>0</v>
      </c>
      <c r="BK164" s="15"/>
      <c r="BL164" s="15">
        <v>762</v>
      </c>
      <c r="BW164" s="15">
        <v>21</v>
      </c>
    </row>
    <row r="165" spans="1:11" ht="15" customHeight="1">
      <c r="A165" s="53"/>
      <c r="C165" s="66" t="s">
        <v>356</v>
      </c>
      <c r="D165" s="18" t="s">
        <v>595</v>
      </c>
      <c r="F165" s="13">
        <v>452.02000000000004</v>
      </c>
      <c r="K165" s="32"/>
    </row>
    <row r="166" spans="1:11" ht="15" customHeight="1">
      <c r="A166" s="53"/>
      <c r="C166" s="66" t="s">
        <v>353</v>
      </c>
      <c r="D166" s="18" t="s">
        <v>42</v>
      </c>
      <c r="F166" s="13">
        <v>98.16000000000001</v>
      </c>
      <c r="K166" s="32"/>
    </row>
    <row r="167" spans="1:75" ht="13.5" customHeight="1">
      <c r="A167" s="7" t="s">
        <v>325</v>
      </c>
      <c r="B167" s="11" t="s">
        <v>688</v>
      </c>
      <c r="C167" s="135" t="s">
        <v>773</v>
      </c>
      <c r="D167" s="130"/>
      <c r="E167" s="11" t="s">
        <v>695</v>
      </c>
      <c r="F167" s="15">
        <v>36.9</v>
      </c>
      <c r="G167" s="15">
        <v>0</v>
      </c>
      <c r="H167" s="15">
        <f>F167*AO167</f>
        <v>0</v>
      </c>
      <c r="I167" s="15">
        <f>F167*AP167</f>
        <v>0</v>
      </c>
      <c r="J167" s="15">
        <f>F167*G167</f>
        <v>0</v>
      </c>
      <c r="K167" s="12" t="s">
        <v>406</v>
      </c>
      <c r="Z167" s="15">
        <f>IF(AQ167="5",BJ167,0)</f>
        <v>0</v>
      </c>
      <c r="AB167" s="15">
        <f>IF(AQ167="1",BH167,0)</f>
        <v>0</v>
      </c>
      <c r="AC167" s="15">
        <f>IF(AQ167="1",BI167,0)</f>
        <v>0</v>
      </c>
      <c r="AD167" s="15">
        <f>IF(AQ167="7",BH167,0)</f>
        <v>0</v>
      </c>
      <c r="AE167" s="15">
        <f>IF(AQ167="7",BI167,0)</f>
        <v>0</v>
      </c>
      <c r="AF167" s="15">
        <f>IF(AQ167="2",BH167,0)</f>
        <v>0</v>
      </c>
      <c r="AG167" s="15">
        <f>IF(AQ167="2",BI167,0)</f>
        <v>0</v>
      </c>
      <c r="AH167" s="15">
        <f>IF(AQ167="0",BJ167,0)</f>
        <v>0</v>
      </c>
      <c r="AI167" s="52" t="s">
        <v>566</v>
      </c>
      <c r="AJ167" s="15">
        <f>IF(AN167=0,J167,0)</f>
        <v>0</v>
      </c>
      <c r="AK167" s="15">
        <f>IF(AN167=12,J167,0)</f>
        <v>0</v>
      </c>
      <c r="AL167" s="15">
        <f>IF(AN167=21,J167,0)</f>
        <v>0</v>
      </c>
      <c r="AN167" s="15">
        <v>21</v>
      </c>
      <c r="AO167" s="15">
        <f>G167*0</f>
        <v>0</v>
      </c>
      <c r="AP167" s="15">
        <f>G167*(1-0)</f>
        <v>0</v>
      </c>
      <c r="AQ167" s="1" t="s">
        <v>831</v>
      </c>
      <c r="AV167" s="15">
        <f>AW167+AX167</f>
        <v>0</v>
      </c>
      <c r="AW167" s="15">
        <f>F167*AO167</f>
        <v>0</v>
      </c>
      <c r="AX167" s="15">
        <f>F167*AP167</f>
        <v>0</v>
      </c>
      <c r="AY167" s="1" t="s">
        <v>527</v>
      </c>
      <c r="AZ167" s="1" t="s">
        <v>912</v>
      </c>
      <c r="BA167" s="52" t="s">
        <v>870</v>
      </c>
      <c r="BC167" s="15">
        <f>AW167+AX167</f>
        <v>0</v>
      </c>
      <c r="BD167" s="15">
        <f>G167/(100-BE167)*100</f>
        <v>0</v>
      </c>
      <c r="BE167" s="15">
        <v>0</v>
      </c>
      <c r="BF167" s="15">
        <f>167</f>
        <v>167</v>
      </c>
      <c r="BH167" s="15">
        <f>F167*AO167</f>
        <v>0</v>
      </c>
      <c r="BI167" s="15">
        <f>F167*AP167</f>
        <v>0</v>
      </c>
      <c r="BJ167" s="15">
        <f>F167*G167</f>
        <v>0</v>
      </c>
      <c r="BK167" s="15"/>
      <c r="BL167" s="15">
        <v>762</v>
      </c>
      <c r="BW167" s="15">
        <v>21</v>
      </c>
    </row>
    <row r="168" spans="1:11" ht="15" customHeight="1">
      <c r="A168" s="53"/>
      <c r="C168" s="66" t="s">
        <v>137</v>
      </c>
      <c r="D168" s="18" t="s">
        <v>595</v>
      </c>
      <c r="F168" s="13">
        <v>14.9</v>
      </c>
      <c r="K168" s="32"/>
    </row>
    <row r="169" spans="1:11" ht="15" customHeight="1">
      <c r="A169" s="53"/>
      <c r="C169" s="66" t="s">
        <v>352</v>
      </c>
      <c r="D169" s="18" t="s">
        <v>42</v>
      </c>
      <c r="F169" s="13">
        <v>22.000000000000004</v>
      </c>
      <c r="K169" s="32"/>
    </row>
    <row r="170" spans="1:75" ht="13.5" customHeight="1">
      <c r="A170" s="7" t="s">
        <v>820</v>
      </c>
      <c r="B170" s="11" t="s">
        <v>146</v>
      </c>
      <c r="C170" s="135" t="s">
        <v>759</v>
      </c>
      <c r="D170" s="130"/>
      <c r="E170" s="11" t="s">
        <v>695</v>
      </c>
      <c r="F170" s="15">
        <v>123.91</v>
      </c>
      <c r="G170" s="15">
        <v>0</v>
      </c>
      <c r="H170" s="15">
        <f>F170*AO170</f>
        <v>0</v>
      </c>
      <c r="I170" s="15">
        <f>F170*AP170</f>
        <v>0</v>
      </c>
      <c r="J170" s="15">
        <f>F170*G170</f>
        <v>0</v>
      </c>
      <c r="K170" s="12" t="s">
        <v>406</v>
      </c>
      <c r="Z170" s="15">
        <f>IF(AQ170="5",BJ170,0)</f>
        <v>0</v>
      </c>
      <c r="AB170" s="15">
        <f>IF(AQ170="1",BH170,0)</f>
        <v>0</v>
      </c>
      <c r="AC170" s="15">
        <f>IF(AQ170="1",BI170,0)</f>
        <v>0</v>
      </c>
      <c r="AD170" s="15">
        <f>IF(AQ170="7",BH170,0)</f>
        <v>0</v>
      </c>
      <c r="AE170" s="15">
        <f>IF(AQ170="7",BI170,0)</f>
        <v>0</v>
      </c>
      <c r="AF170" s="15">
        <f>IF(AQ170="2",BH170,0)</f>
        <v>0</v>
      </c>
      <c r="AG170" s="15">
        <f>IF(AQ170="2",BI170,0)</f>
        <v>0</v>
      </c>
      <c r="AH170" s="15">
        <f>IF(AQ170="0",BJ170,0)</f>
        <v>0</v>
      </c>
      <c r="AI170" s="52" t="s">
        <v>566</v>
      </c>
      <c r="AJ170" s="15">
        <f>IF(AN170=0,J170,0)</f>
        <v>0</v>
      </c>
      <c r="AK170" s="15">
        <f>IF(AN170=12,J170,0)</f>
        <v>0</v>
      </c>
      <c r="AL170" s="15">
        <f>IF(AN170=21,J170,0)</f>
        <v>0</v>
      </c>
      <c r="AN170" s="15">
        <v>21</v>
      </c>
      <c r="AO170" s="15">
        <f>G170*0</f>
        <v>0</v>
      </c>
      <c r="AP170" s="15">
        <f>G170*(1-0)</f>
        <v>0</v>
      </c>
      <c r="AQ170" s="1" t="s">
        <v>831</v>
      </c>
      <c r="AV170" s="15">
        <f>AW170+AX170</f>
        <v>0</v>
      </c>
      <c r="AW170" s="15">
        <f>F170*AO170</f>
        <v>0</v>
      </c>
      <c r="AX170" s="15">
        <f>F170*AP170</f>
        <v>0</v>
      </c>
      <c r="AY170" s="1" t="s">
        <v>527</v>
      </c>
      <c r="AZ170" s="1" t="s">
        <v>912</v>
      </c>
      <c r="BA170" s="52" t="s">
        <v>870</v>
      </c>
      <c r="BC170" s="15">
        <f>AW170+AX170</f>
        <v>0</v>
      </c>
      <c r="BD170" s="15">
        <f>G170/(100-BE170)*100</f>
        <v>0</v>
      </c>
      <c r="BE170" s="15">
        <v>0</v>
      </c>
      <c r="BF170" s="15">
        <f>170</f>
        <v>170</v>
      </c>
      <c r="BH170" s="15">
        <f>F170*AO170</f>
        <v>0</v>
      </c>
      <c r="BI170" s="15">
        <f>F170*AP170</f>
        <v>0</v>
      </c>
      <c r="BJ170" s="15">
        <f>F170*G170</f>
        <v>0</v>
      </c>
      <c r="BK170" s="15"/>
      <c r="BL170" s="15">
        <v>762</v>
      </c>
      <c r="BW170" s="15">
        <v>21</v>
      </c>
    </row>
    <row r="171" spans="1:11" ht="15" customHeight="1">
      <c r="A171" s="53"/>
      <c r="C171" s="66" t="s">
        <v>252</v>
      </c>
      <c r="D171" s="18" t="s">
        <v>20</v>
      </c>
      <c r="F171" s="13">
        <v>111.01</v>
      </c>
      <c r="K171" s="32"/>
    </row>
    <row r="172" spans="1:11" ht="15" customHeight="1">
      <c r="A172" s="53"/>
      <c r="C172" s="66" t="s">
        <v>278</v>
      </c>
      <c r="D172" s="18" t="s">
        <v>42</v>
      </c>
      <c r="F172" s="13">
        <v>12.9</v>
      </c>
      <c r="K172" s="32"/>
    </row>
    <row r="173" spans="1:75" ht="13.5" customHeight="1">
      <c r="A173" s="7" t="s">
        <v>168</v>
      </c>
      <c r="B173" s="11" t="s">
        <v>337</v>
      </c>
      <c r="C173" s="135" t="s">
        <v>243</v>
      </c>
      <c r="D173" s="130"/>
      <c r="E173" s="11" t="s">
        <v>415</v>
      </c>
      <c r="F173" s="15">
        <v>18.56</v>
      </c>
      <c r="G173" s="15">
        <v>0</v>
      </c>
      <c r="H173" s="15">
        <f>F173*AO173</f>
        <v>0</v>
      </c>
      <c r="I173" s="15">
        <f>F173*AP173</f>
        <v>0</v>
      </c>
      <c r="J173" s="15">
        <f>F173*G173</f>
        <v>0</v>
      </c>
      <c r="K173" s="12" t="s">
        <v>406</v>
      </c>
      <c r="Z173" s="15">
        <f>IF(AQ173="5",BJ173,0)</f>
        <v>0</v>
      </c>
      <c r="AB173" s="15">
        <f>IF(AQ173="1",BH173,0)</f>
        <v>0</v>
      </c>
      <c r="AC173" s="15">
        <f>IF(AQ173="1",BI173,0)</f>
        <v>0</v>
      </c>
      <c r="AD173" s="15">
        <f>IF(AQ173="7",BH173,0)</f>
        <v>0</v>
      </c>
      <c r="AE173" s="15">
        <f>IF(AQ173="7",BI173,0)</f>
        <v>0</v>
      </c>
      <c r="AF173" s="15">
        <f>IF(AQ173="2",BH173,0)</f>
        <v>0</v>
      </c>
      <c r="AG173" s="15">
        <f>IF(AQ173="2",BI173,0)</f>
        <v>0</v>
      </c>
      <c r="AH173" s="15">
        <f>IF(AQ173="0",BJ173,0)</f>
        <v>0</v>
      </c>
      <c r="AI173" s="52" t="s">
        <v>566</v>
      </c>
      <c r="AJ173" s="15">
        <f>IF(AN173=0,J173,0)</f>
        <v>0</v>
      </c>
      <c r="AK173" s="15">
        <f>IF(AN173=12,J173,0)</f>
        <v>0</v>
      </c>
      <c r="AL173" s="15">
        <f>IF(AN173=21,J173,0)</f>
        <v>0</v>
      </c>
      <c r="AN173" s="15">
        <v>21</v>
      </c>
      <c r="AO173" s="15">
        <f>G173*0</f>
        <v>0</v>
      </c>
      <c r="AP173" s="15">
        <f>G173*(1-0)</f>
        <v>0</v>
      </c>
      <c r="AQ173" s="1" t="s">
        <v>461</v>
      </c>
      <c r="AV173" s="15">
        <f>AW173+AX173</f>
        <v>0</v>
      </c>
      <c r="AW173" s="15">
        <f>F173*AO173</f>
        <v>0</v>
      </c>
      <c r="AX173" s="15">
        <f>F173*AP173</f>
        <v>0</v>
      </c>
      <c r="AY173" s="1" t="s">
        <v>527</v>
      </c>
      <c r="AZ173" s="1" t="s">
        <v>912</v>
      </c>
      <c r="BA173" s="52" t="s">
        <v>870</v>
      </c>
      <c r="BC173" s="15">
        <f>AW173+AX173</f>
        <v>0</v>
      </c>
      <c r="BD173" s="15">
        <f>G173/(100-BE173)*100</f>
        <v>0</v>
      </c>
      <c r="BE173" s="15">
        <v>0</v>
      </c>
      <c r="BF173" s="15">
        <f>173</f>
        <v>173</v>
      </c>
      <c r="BH173" s="15">
        <f>F173*AO173</f>
        <v>0</v>
      </c>
      <c r="BI173" s="15">
        <f>F173*AP173</f>
        <v>0</v>
      </c>
      <c r="BJ173" s="15">
        <f>F173*G173</f>
        <v>0</v>
      </c>
      <c r="BK173" s="15"/>
      <c r="BL173" s="15">
        <v>762</v>
      </c>
      <c r="BW173" s="15">
        <v>21</v>
      </c>
    </row>
    <row r="174" spans="1:47" ht="15" customHeight="1">
      <c r="A174" s="17" t="s">
        <v>577</v>
      </c>
      <c r="B174" s="20" t="s">
        <v>77</v>
      </c>
      <c r="C174" s="201" t="s">
        <v>130</v>
      </c>
      <c r="D174" s="210"/>
      <c r="E174" s="14" t="s">
        <v>774</v>
      </c>
      <c r="F174" s="14" t="s">
        <v>774</v>
      </c>
      <c r="G174" s="14" t="s">
        <v>774</v>
      </c>
      <c r="H174" s="68">
        <f>SUM(H175:H242)</f>
        <v>0</v>
      </c>
      <c r="I174" s="68">
        <f>SUM(I175:I242)</f>
        <v>0</v>
      </c>
      <c r="J174" s="68">
        <f>SUM(J175:J242)</f>
        <v>0</v>
      </c>
      <c r="K174" s="42" t="s">
        <v>577</v>
      </c>
      <c r="AI174" s="52" t="s">
        <v>566</v>
      </c>
      <c r="AS174" s="68">
        <f>SUM(AJ175:AJ242)</f>
        <v>0</v>
      </c>
      <c r="AT174" s="68">
        <f>SUM(AK175:AK242)</f>
        <v>0</v>
      </c>
      <c r="AU174" s="68">
        <f>SUM(AL175:AL242)</f>
        <v>0</v>
      </c>
    </row>
    <row r="175" spans="1:75" ht="13.5" customHeight="1">
      <c r="A175" s="7" t="s">
        <v>310</v>
      </c>
      <c r="B175" s="11" t="s">
        <v>453</v>
      </c>
      <c r="C175" s="135" t="s">
        <v>491</v>
      </c>
      <c r="D175" s="130"/>
      <c r="E175" s="11" t="s">
        <v>819</v>
      </c>
      <c r="F175" s="15">
        <v>22</v>
      </c>
      <c r="G175" s="15">
        <v>0</v>
      </c>
      <c r="H175" s="15">
        <f>F175*AO175</f>
        <v>0</v>
      </c>
      <c r="I175" s="15">
        <f>F175*AP175</f>
        <v>0</v>
      </c>
      <c r="J175" s="15">
        <f>F175*G175</f>
        <v>0</v>
      </c>
      <c r="K175" s="12" t="s">
        <v>406</v>
      </c>
      <c r="Z175" s="15">
        <f>IF(AQ175="5",BJ175,0)</f>
        <v>0</v>
      </c>
      <c r="AB175" s="15">
        <f>IF(AQ175="1",BH175,0)</f>
        <v>0</v>
      </c>
      <c r="AC175" s="15">
        <f>IF(AQ175="1",BI175,0)</f>
        <v>0</v>
      </c>
      <c r="AD175" s="15">
        <f>IF(AQ175="7",BH175,0)</f>
        <v>0</v>
      </c>
      <c r="AE175" s="15">
        <f>IF(AQ175="7",BI175,0)</f>
        <v>0</v>
      </c>
      <c r="AF175" s="15">
        <f>IF(AQ175="2",BH175,0)</f>
        <v>0</v>
      </c>
      <c r="AG175" s="15">
        <f>IF(AQ175="2",BI175,0)</f>
        <v>0</v>
      </c>
      <c r="AH175" s="15">
        <f>IF(AQ175="0",BJ175,0)</f>
        <v>0</v>
      </c>
      <c r="AI175" s="52" t="s">
        <v>566</v>
      </c>
      <c r="AJ175" s="15">
        <f>IF(AN175=0,J175,0)</f>
        <v>0</v>
      </c>
      <c r="AK175" s="15">
        <f>IF(AN175=12,J175,0)</f>
        <v>0</v>
      </c>
      <c r="AL175" s="15">
        <f>IF(AN175=21,J175,0)</f>
        <v>0</v>
      </c>
      <c r="AN175" s="15">
        <v>21</v>
      </c>
      <c r="AO175" s="15">
        <f>G175*0</f>
        <v>0</v>
      </c>
      <c r="AP175" s="15">
        <f>G175*(1-0)</f>
        <v>0</v>
      </c>
      <c r="AQ175" s="1" t="s">
        <v>831</v>
      </c>
      <c r="AV175" s="15">
        <f>AW175+AX175</f>
        <v>0</v>
      </c>
      <c r="AW175" s="15">
        <f>F175*AO175</f>
        <v>0</v>
      </c>
      <c r="AX175" s="15">
        <f>F175*AP175</f>
        <v>0</v>
      </c>
      <c r="AY175" s="1" t="s">
        <v>678</v>
      </c>
      <c r="AZ175" s="1" t="s">
        <v>912</v>
      </c>
      <c r="BA175" s="52" t="s">
        <v>870</v>
      </c>
      <c r="BC175" s="15">
        <f>AW175+AX175</f>
        <v>0</v>
      </c>
      <c r="BD175" s="15">
        <f>G175/(100-BE175)*100</f>
        <v>0</v>
      </c>
      <c r="BE175" s="15">
        <v>0</v>
      </c>
      <c r="BF175" s="15">
        <f>175</f>
        <v>175</v>
      </c>
      <c r="BH175" s="15">
        <f>F175*AO175</f>
        <v>0</v>
      </c>
      <c r="BI175" s="15">
        <f>F175*AP175</f>
        <v>0</v>
      </c>
      <c r="BJ175" s="15">
        <f>F175*G175</f>
        <v>0</v>
      </c>
      <c r="BK175" s="15"/>
      <c r="BL175" s="15">
        <v>764</v>
      </c>
      <c r="BW175" s="15">
        <v>21</v>
      </c>
    </row>
    <row r="176" spans="1:11" ht="15" customHeight="1">
      <c r="A176" s="53"/>
      <c r="C176" s="66" t="s">
        <v>352</v>
      </c>
      <c r="D176" s="18" t="s">
        <v>42</v>
      </c>
      <c r="F176" s="13">
        <v>22.000000000000004</v>
      </c>
      <c r="K176" s="32"/>
    </row>
    <row r="177" spans="1:75" ht="13.5" customHeight="1">
      <c r="A177" s="7" t="s">
        <v>395</v>
      </c>
      <c r="B177" s="11" t="s">
        <v>921</v>
      </c>
      <c r="C177" s="135" t="s">
        <v>280</v>
      </c>
      <c r="D177" s="130"/>
      <c r="E177" s="11" t="s">
        <v>819</v>
      </c>
      <c r="F177" s="15">
        <v>22</v>
      </c>
      <c r="G177" s="15">
        <v>0</v>
      </c>
      <c r="H177" s="15">
        <f>F177*AO177</f>
        <v>0</v>
      </c>
      <c r="I177" s="15">
        <f>F177*AP177</f>
        <v>0</v>
      </c>
      <c r="J177" s="15">
        <f>F177*G177</f>
        <v>0</v>
      </c>
      <c r="K177" s="12" t="s">
        <v>406</v>
      </c>
      <c r="Z177" s="15">
        <f>IF(AQ177="5",BJ177,0)</f>
        <v>0</v>
      </c>
      <c r="AB177" s="15">
        <f>IF(AQ177="1",BH177,0)</f>
        <v>0</v>
      </c>
      <c r="AC177" s="15">
        <f>IF(AQ177="1",BI177,0)</f>
        <v>0</v>
      </c>
      <c r="AD177" s="15">
        <f>IF(AQ177="7",BH177,0)</f>
        <v>0</v>
      </c>
      <c r="AE177" s="15">
        <f>IF(AQ177="7",BI177,0)</f>
        <v>0</v>
      </c>
      <c r="AF177" s="15">
        <f>IF(AQ177="2",BH177,0)</f>
        <v>0</v>
      </c>
      <c r="AG177" s="15">
        <f>IF(AQ177="2",BI177,0)</f>
        <v>0</v>
      </c>
      <c r="AH177" s="15">
        <f>IF(AQ177="0",BJ177,0)</f>
        <v>0</v>
      </c>
      <c r="AI177" s="52" t="s">
        <v>566</v>
      </c>
      <c r="AJ177" s="15">
        <f>IF(AN177=0,J177,0)</f>
        <v>0</v>
      </c>
      <c r="AK177" s="15">
        <f>IF(AN177=12,J177,0)</f>
        <v>0</v>
      </c>
      <c r="AL177" s="15">
        <f>IF(AN177=21,J177,0)</f>
        <v>0</v>
      </c>
      <c r="AN177" s="15">
        <v>21</v>
      </c>
      <c r="AO177" s="15">
        <f>G177*0.454224176859796</f>
        <v>0</v>
      </c>
      <c r="AP177" s="15">
        <f>G177*(1-0.454224176859796)</f>
        <v>0</v>
      </c>
      <c r="AQ177" s="1" t="s">
        <v>831</v>
      </c>
      <c r="AV177" s="15">
        <f>AW177+AX177</f>
        <v>0</v>
      </c>
      <c r="AW177" s="15">
        <f>F177*AO177</f>
        <v>0</v>
      </c>
      <c r="AX177" s="15">
        <f>F177*AP177</f>
        <v>0</v>
      </c>
      <c r="AY177" s="1" t="s">
        <v>678</v>
      </c>
      <c r="AZ177" s="1" t="s">
        <v>912</v>
      </c>
      <c r="BA177" s="52" t="s">
        <v>870</v>
      </c>
      <c r="BC177" s="15">
        <f>AW177+AX177</f>
        <v>0</v>
      </c>
      <c r="BD177" s="15">
        <f>G177/(100-BE177)*100</f>
        <v>0</v>
      </c>
      <c r="BE177" s="15">
        <v>0</v>
      </c>
      <c r="BF177" s="15">
        <f>177</f>
        <v>177</v>
      </c>
      <c r="BH177" s="15">
        <f>F177*AO177</f>
        <v>0</v>
      </c>
      <c r="BI177" s="15">
        <f>F177*AP177</f>
        <v>0</v>
      </c>
      <c r="BJ177" s="15">
        <f>F177*G177</f>
        <v>0</v>
      </c>
      <c r="BK177" s="15"/>
      <c r="BL177" s="15">
        <v>764</v>
      </c>
      <c r="BW177" s="15">
        <v>21</v>
      </c>
    </row>
    <row r="178" spans="1:11" ht="15" customHeight="1">
      <c r="A178" s="53"/>
      <c r="C178" s="66" t="s">
        <v>352</v>
      </c>
      <c r="D178" s="18" t="s">
        <v>239</v>
      </c>
      <c r="F178" s="13">
        <v>22.000000000000004</v>
      </c>
      <c r="K178" s="32"/>
    </row>
    <row r="179" spans="1:75" ht="13.5" customHeight="1">
      <c r="A179" s="7" t="s">
        <v>324</v>
      </c>
      <c r="B179" s="11" t="s">
        <v>328</v>
      </c>
      <c r="C179" s="135" t="s">
        <v>938</v>
      </c>
      <c r="D179" s="130"/>
      <c r="E179" s="11" t="s">
        <v>819</v>
      </c>
      <c r="F179" s="15">
        <v>166.35</v>
      </c>
      <c r="G179" s="15">
        <v>0</v>
      </c>
      <c r="H179" s="15">
        <f>F179*AO179</f>
        <v>0</v>
      </c>
      <c r="I179" s="15">
        <f>F179*AP179</f>
        <v>0</v>
      </c>
      <c r="J179" s="15">
        <f>F179*G179</f>
        <v>0</v>
      </c>
      <c r="K179" s="12" t="s">
        <v>406</v>
      </c>
      <c r="Z179" s="15">
        <f>IF(AQ179="5",BJ179,0)</f>
        <v>0</v>
      </c>
      <c r="AB179" s="15">
        <f>IF(AQ179="1",BH179,0)</f>
        <v>0</v>
      </c>
      <c r="AC179" s="15">
        <f>IF(AQ179="1",BI179,0)</f>
        <v>0</v>
      </c>
      <c r="AD179" s="15">
        <f>IF(AQ179="7",BH179,0)</f>
        <v>0</v>
      </c>
      <c r="AE179" s="15">
        <f>IF(AQ179="7",BI179,0)</f>
        <v>0</v>
      </c>
      <c r="AF179" s="15">
        <f>IF(AQ179="2",BH179,0)</f>
        <v>0</v>
      </c>
      <c r="AG179" s="15">
        <f>IF(AQ179="2",BI179,0)</f>
        <v>0</v>
      </c>
      <c r="AH179" s="15">
        <f>IF(AQ179="0",BJ179,0)</f>
        <v>0</v>
      </c>
      <c r="AI179" s="52" t="s">
        <v>566</v>
      </c>
      <c r="AJ179" s="15">
        <f>IF(AN179=0,J179,0)</f>
        <v>0</v>
      </c>
      <c r="AK179" s="15">
        <f>IF(AN179=12,J179,0)</f>
        <v>0</v>
      </c>
      <c r="AL179" s="15">
        <f>IF(AN179=21,J179,0)</f>
        <v>0</v>
      </c>
      <c r="AN179" s="15">
        <v>21</v>
      </c>
      <c r="AO179" s="15">
        <f>G179*0.591199779856907</f>
        <v>0</v>
      </c>
      <c r="AP179" s="15">
        <f>G179*(1-0.591199779856907)</f>
        <v>0</v>
      </c>
      <c r="AQ179" s="1" t="s">
        <v>831</v>
      </c>
      <c r="AV179" s="15">
        <f>AW179+AX179</f>
        <v>0</v>
      </c>
      <c r="AW179" s="15">
        <f>F179*AO179</f>
        <v>0</v>
      </c>
      <c r="AX179" s="15">
        <f>F179*AP179</f>
        <v>0</v>
      </c>
      <c r="AY179" s="1" t="s">
        <v>678</v>
      </c>
      <c r="AZ179" s="1" t="s">
        <v>912</v>
      </c>
      <c r="BA179" s="52" t="s">
        <v>870</v>
      </c>
      <c r="BC179" s="15">
        <f>AW179+AX179</f>
        <v>0</v>
      </c>
      <c r="BD179" s="15">
        <f>G179/(100-BE179)*100</f>
        <v>0</v>
      </c>
      <c r="BE179" s="15">
        <v>0</v>
      </c>
      <c r="BF179" s="15">
        <f>179</f>
        <v>179</v>
      </c>
      <c r="BH179" s="15">
        <f>F179*AO179</f>
        <v>0</v>
      </c>
      <c r="BI179" s="15">
        <f>F179*AP179</f>
        <v>0</v>
      </c>
      <c r="BJ179" s="15">
        <f>F179*G179</f>
        <v>0</v>
      </c>
      <c r="BK179" s="15"/>
      <c r="BL179" s="15">
        <v>764</v>
      </c>
      <c r="BW179" s="15">
        <v>21</v>
      </c>
    </row>
    <row r="180" spans="1:11" ht="15" customHeight="1">
      <c r="A180" s="53"/>
      <c r="C180" s="66" t="s">
        <v>197</v>
      </c>
      <c r="D180" s="18" t="s">
        <v>226</v>
      </c>
      <c r="F180" s="13">
        <v>151.15</v>
      </c>
      <c r="K180" s="32"/>
    </row>
    <row r="181" spans="1:11" ht="15" customHeight="1">
      <c r="A181" s="53"/>
      <c r="C181" s="66" t="s">
        <v>294</v>
      </c>
      <c r="D181" s="18" t="s">
        <v>718</v>
      </c>
      <c r="F181" s="13">
        <v>15.200000000000001</v>
      </c>
      <c r="K181" s="32"/>
    </row>
    <row r="182" spans="1:75" ht="13.5" customHeight="1">
      <c r="A182" s="7" t="s">
        <v>677</v>
      </c>
      <c r="B182" s="11" t="s">
        <v>591</v>
      </c>
      <c r="C182" s="135" t="s">
        <v>320</v>
      </c>
      <c r="D182" s="130"/>
      <c r="E182" s="11" t="s">
        <v>224</v>
      </c>
      <c r="F182" s="15">
        <v>4</v>
      </c>
      <c r="G182" s="15">
        <v>0</v>
      </c>
      <c r="H182" s="15">
        <f>F182*AO182</f>
        <v>0</v>
      </c>
      <c r="I182" s="15">
        <f>F182*AP182</f>
        <v>0</v>
      </c>
      <c r="J182" s="15">
        <f>F182*G182</f>
        <v>0</v>
      </c>
      <c r="K182" s="12" t="s">
        <v>406</v>
      </c>
      <c r="Z182" s="15">
        <f>IF(AQ182="5",BJ182,0)</f>
        <v>0</v>
      </c>
      <c r="AB182" s="15">
        <f>IF(AQ182="1",BH182,0)</f>
        <v>0</v>
      </c>
      <c r="AC182" s="15">
        <f>IF(AQ182="1",BI182,0)</f>
        <v>0</v>
      </c>
      <c r="AD182" s="15">
        <f>IF(AQ182="7",BH182,0)</f>
        <v>0</v>
      </c>
      <c r="AE182" s="15">
        <f>IF(AQ182="7",BI182,0)</f>
        <v>0</v>
      </c>
      <c r="AF182" s="15">
        <f>IF(AQ182="2",BH182,0)</f>
        <v>0</v>
      </c>
      <c r="AG182" s="15">
        <f>IF(AQ182="2",BI182,0)</f>
        <v>0</v>
      </c>
      <c r="AH182" s="15">
        <f>IF(AQ182="0",BJ182,0)</f>
        <v>0</v>
      </c>
      <c r="AI182" s="52" t="s">
        <v>566</v>
      </c>
      <c r="AJ182" s="15">
        <f>IF(AN182=0,J182,0)</f>
        <v>0</v>
      </c>
      <c r="AK182" s="15">
        <f>IF(AN182=12,J182,0)</f>
        <v>0</v>
      </c>
      <c r="AL182" s="15">
        <f>IF(AN182=21,J182,0)</f>
        <v>0</v>
      </c>
      <c r="AN182" s="15">
        <v>21</v>
      </c>
      <c r="AO182" s="15">
        <f>G182*0</f>
        <v>0</v>
      </c>
      <c r="AP182" s="15">
        <f>G182*(1-0)</f>
        <v>0</v>
      </c>
      <c r="AQ182" s="1" t="s">
        <v>831</v>
      </c>
      <c r="AV182" s="15">
        <f>AW182+AX182</f>
        <v>0</v>
      </c>
      <c r="AW182" s="15">
        <f>F182*AO182</f>
        <v>0</v>
      </c>
      <c r="AX182" s="15">
        <f>F182*AP182</f>
        <v>0</v>
      </c>
      <c r="AY182" s="1" t="s">
        <v>678</v>
      </c>
      <c r="AZ182" s="1" t="s">
        <v>912</v>
      </c>
      <c r="BA182" s="52" t="s">
        <v>870</v>
      </c>
      <c r="BC182" s="15">
        <f>AW182+AX182</f>
        <v>0</v>
      </c>
      <c r="BD182" s="15">
        <f>G182/(100-BE182)*100</f>
        <v>0</v>
      </c>
      <c r="BE182" s="15">
        <v>0</v>
      </c>
      <c r="BF182" s="15">
        <f>182</f>
        <v>182</v>
      </c>
      <c r="BH182" s="15">
        <f>F182*AO182</f>
        <v>0</v>
      </c>
      <c r="BI182" s="15">
        <f>F182*AP182</f>
        <v>0</v>
      </c>
      <c r="BJ182" s="15">
        <f>F182*G182</f>
        <v>0</v>
      </c>
      <c r="BK182" s="15"/>
      <c r="BL182" s="15">
        <v>764</v>
      </c>
      <c r="BW182" s="15">
        <v>21</v>
      </c>
    </row>
    <row r="183" spans="1:11" ht="15" customHeight="1">
      <c r="A183" s="53"/>
      <c r="C183" s="66" t="s">
        <v>722</v>
      </c>
      <c r="D183" s="18" t="s">
        <v>571</v>
      </c>
      <c r="F183" s="13">
        <v>4</v>
      </c>
      <c r="K183" s="32"/>
    </row>
    <row r="184" spans="1:75" ht="27" customHeight="1">
      <c r="A184" s="7" t="s">
        <v>855</v>
      </c>
      <c r="B184" s="11" t="s">
        <v>478</v>
      </c>
      <c r="C184" s="135" t="s">
        <v>81</v>
      </c>
      <c r="D184" s="130"/>
      <c r="E184" s="11" t="s">
        <v>224</v>
      </c>
      <c r="F184" s="15">
        <v>4</v>
      </c>
      <c r="G184" s="15">
        <v>0</v>
      </c>
      <c r="H184" s="15">
        <f>F184*AO184</f>
        <v>0</v>
      </c>
      <c r="I184" s="15">
        <f>F184*AP184</f>
        <v>0</v>
      </c>
      <c r="J184" s="15">
        <f>F184*G184</f>
        <v>0</v>
      </c>
      <c r="K184" s="12" t="s">
        <v>406</v>
      </c>
      <c r="Z184" s="15">
        <f>IF(AQ184="5",BJ184,0)</f>
        <v>0</v>
      </c>
      <c r="AB184" s="15">
        <f>IF(AQ184="1",BH184,0)</f>
        <v>0</v>
      </c>
      <c r="AC184" s="15">
        <f>IF(AQ184="1",BI184,0)</f>
        <v>0</v>
      </c>
      <c r="AD184" s="15">
        <f>IF(AQ184="7",BH184,0)</f>
        <v>0</v>
      </c>
      <c r="AE184" s="15">
        <f>IF(AQ184="7",BI184,0)</f>
        <v>0</v>
      </c>
      <c r="AF184" s="15">
        <f>IF(AQ184="2",BH184,0)</f>
        <v>0</v>
      </c>
      <c r="AG184" s="15">
        <f>IF(AQ184="2",BI184,0)</f>
        <v>0</v>
      </c>
      <c r="AH184" s="15">
        <f>IF(AQ184="0",BJ184,0)</f>
        <v>0</v>
      </c>
      <c r="AI184" s="52" t="s">
        <v>566</v>
      </c>
      <c r="AJ184" s="15">
        <f>IF(AN184=0,J184,0)</f>
        <v>0</v>
      </c>
      <c r="AK184" s="15">
        <f>IF(AN184=12,J184,0)</f>
        <v>0</v>
      </c>
      <c r="AL184" s="15">
        <f>IF(AN184=21,J184,0)</f>
        <v>0</v>
      </c>
      <c r="AN184" s="15">
        <v>21</v>
      </c>
      <c r="AO184" s="15">
        <f>G184*0.88396</f>
        <v>0</v>
      </c>
      <c r="AP184" s="15">
        <f>G184*(1-0.88396)</f>
        <v>0</v>
      </c>
      <c r="AQ184" s="1" t="s">
        <v>831</v>
      </c>
      <c r="AV184" s="15">
        <f>AW184+AX184</f>
        <v>0</v>
      </c>
      <c r="AW184" s="15">
        <f>F184*AO184</f>
        <v>0</v>
      </c>
      <c r="AX184" s="15">
        <f>F184*AP184</f>
        <v>0</v>
      </c>
      <c r="AY184" s="1" t="s">
        <v>678</v>
      </c>
      <c r="AZ184" s="1" t="s">
        <v>912</v>
      </c>
      <c r="BA184" s="52" t="s">
        <v>870</v>
      </c>
      <c r="BC184" s="15">
        <f>AW184+AX184</f>
        <v>0</v>
      </c>
      <c r="BD184" s="15">
        <f>G184/(100-BE184)*100</f>
        <v>0</v>
      </c>
      <c r="BE184" s="15">
        <v>0</v>
      </c>
      <c r="BF184" s="15">
        <f>184</f>
        <v>184</v>
      </c>
      <c r="BH184" s="15">
        <f>F184*AO184</f>
        <v>0</v>
      </c>
      <c r="BI184" s="15">
        <f>F184*AP184</f>
        <v>0</v>
      </c>
      <c r="BJ184" s="15">
        <f>F184*G184</f>
        <v>0</v>
      </c>
      <c r="BK184" s="15"/>
      <c r="BL184" s="15">
        <v>764</v>
      </c>
      <c r="BW184" s="15">
        <v>21</v>
      </c>
    </row>
    <row r="185" spans="1:11" ht="15" customHeight="1">
      <c r="A185" s="53"/>
      <c r="C185" s="66" t="s">
        <v>722</v>
      </c>
      <c r="D185" s="18" t="s">
        <v>125</v>
      </c>
      <c r="F185" s="13">
        <v>4</v>
      </c>
      <c r="K185" s="32"/>
    </row>
    <row r="186" spans="1:75" ht="13.5" customHeight="1">
      <c r="A186" s="7" t="s">
        <v>72</v>
      </c>
      <c r="B186" s="11" t="s">
        <v>233</v>
      </c>
      <c r="C186" s="135" t="s">
        <v>843</v>
      </c>
      <c r="D186" s="130"/>
      <c r="E186" s="11" t="s">
        <v>695</v>
      </c>
      <c r="F186" s="15">
        <v>108.72</v>
      </c>
      <c r="G186" s="15">
        <v>0</v>
      </c>
      <c r="H186" s="15">
        <f>F186*AO186</f>
        <v>0</v>
      </c>
      <c r="I186" s="15">
        <f>F186*AP186</f>
        <v>0</v>
      </c>
      <c r="J186" s="15">
        <f>F186*G186</f>
        <v>0</v>
      </c>
      <c r="K186" s="12" t="s">
        <v>406</v>
      </c>
      <c r="Z186" s="15">
        <f>IF(AQ186="5",BJ186,0)</f>
        <v>0</v>
      </c>
      <c r="AB186" s="15">
        <f>IF(AQ186="1",BH186,0)</f>
        <v>0</v>
      </c>
      <c r="AC186" s="15">
        <f>IF(AQ186="1",BI186,0)</f>
        <v>0</v>
      </c>
      <c r="AD186" s="15">
        <f>IF(AQ186="7",BH186,0)</f>
        <v>0</v>
      </c>
      <c r="AE186" s="15">
        <f>IF(AQ186="7",BI186,0)</f>
        <v>0</v>
      </c>
      <c r="AF186" s="15">
        <f>IF(AQ186="2",BH186,0)</f>
        <v>0</v>
      </c>
      <c r="AG186" s="15">
        <f>IF(AQ186="2",BI186,0)</f>
        <v>0</v>
      </c>
      <c r="AH186" s="15">
        <f>IF(AQ186="0",BJ186,0)</f>
        <v>0</v>
      </c>
      <c r="AI186" s="52" t="s">
        <v>566</v>
      </c>
      <c r="AJ186" s="15">
        <f>IF(AN186=0,J186,0)</f>
        <v>0</v>
      </c>
      <c r="AK186" s="15">
        <f>IF(AN186=12,J186,0)</f>
        <v>0</v>
      </c>
      <c r="AL186" s="15">
        <f>IF(AN186=21,J186,0)</f>
        <v>0</v>
      </c>
      <c r="AN186" s="15">
        <v>21</v>
      </c>
      <c r="AO186" s="15">
        <f>G186*0</f>
        <v>0</v>
      </c>
      <c r="AP186" s="15">
        <f>G186*(1-0)</f>
        <v>0</v>
      </c>
      <c r="AQ186" s="1" t="s">
        <v>831</v>
      </c>
      <c r="AV186" s="15">
        <f>AW186+AX186</f>
        <v>0</v>
      </c>
      <c r="AW186" s="15">
        <f>F186*AO186</f>
        <v>0</v>
      </c>
      <c r="AX186" s="15">
        <f>F186*AP186</f>
        <v>0</v>
      </c>
      <c r="AY186" s="1" t="s">
        <v>678</v>
      </c>
      <c r="AZ186" s="1" t="s">
        <v>912</v>
      </c>
      <c r="BA186" s="52" t="s">
        <v>870</v>
      </c>
      <c r="BC186" s="15">
        <f>AW186+AX186</f>
        <v>0</v>
      </c>
      <c r="BD186" s="15">
        <f>G186/(100-BE186)*100</f>
        <v>0</v>
      </c>
      <c r="BE186" s="15">
        <v>0</v>
      </c>
      <c r="BF186" s="15">
        <f>186</f>
        <v>186</v>
      </c>
      <c r="BH186" s="15">
        <f>F186*AO186</f>
        <v>0</v>
      </c>
      <c r="BI186" s="15">
        <f>F186*AP186</f>
        <v>0</v>
      </c>
      <c r="BJ186" s="15">
        <f>F186*G186</f>
        <v>0</v>
      </c>
      <c r="BK186" s="15"/>
      <c r="BL186" s="15">
        <v>764</v>
      </c>
      <c r="BW186" s="15">
        <v>21</v>
      </c>
    </row>
    <row r="187" spans="1:11" ht="15" customHeight="1">
      <c r="A187" s="53"/>
      <c r="C187" s="66" t="s">
        <v>839</v>
      </c>
      <c r="D187" s="18" t="s">
        <v>756</v>
      </c>
      <c r="F187" s="13">
        <v>7.2</v>
      </c>
      <c r="K187" s="32"/>
    </row>
    <row r="188" spans="1:11" ht="15" customHeight="1">
      <c r="A188" s="53"/>
      <c r="C188" s="66" t="s">
        <v>889</v>
      </c>
      <c r="D188" s="18" t="s">
        <v>542</v>
      </c>
      <c r="F188" s="13">
        <v>0.9</v>
      </c>
      <c r="K188" s="32"/>
    </row>
    <row r="189" spans="1:11" ht="15" customHeight="1">
      <c r="A189" s="53"/>
      <c r="C189" s="66" t="s">
        <v>606</v>
      </c>
      <c r="D189" s="18" t="s">
        <v>336</v>
      </c>
      <c r="F189" s="13">
        <v>3.9000000000000004</v>
      </c>
      <c r="K189" s="32"/>
    </row>
    <row r="190" spans="1:11" ht="15" customHeight="1">
      <c r="A190" s="53"/>
      <c r="C190" s="66" t="s">
        <v>738</v>
      </c>
      <c r="D190" s="18" t="s">
        <v>524</v>
      </c>
      <c r="F190" s="13">
        <v>7.6000000000000005</v>
      </c>
      <c r="K190" s="32"/>
    </row>
    <row r="191" spans="1:11" ht="15" customHeight="1">
      <c r="A191" s="53"/>
      <c r="C191" s="66" t="s">
        <v>738</v>
      </c>
      <c r="D191" s="18" t="s">
        <v>428</v>
      </c>
      <c r="F191" s="13">
        <v>7.6000000000000005</v>
      </c>
      <c r="K191" s="32"/>
    </row>
    <row r="192" spans="1:11" ht="15" customHeight="1">
      <c r="A192" s="53"/>
      <c r="C192" s="66" t="s">
        <v>557</v>
      </c>
      <c r="D192" s="18" t="s">
        <v>105</v>
      </c>
      <c r="F192" s="13">
        <v>5.800000000000001</v>
      </c>
      <c r="K192" s="32"/>
    </row>
    <row r="193" spans="1:11" ht="15" customHeight="1">
      <c r="A193" s="53"/>
      <c r="C193" s="66" t="s">
        <v>178</v>
      </c>
      <c r="D193" s="18" t="s">
        <v>475</v>
      </c>
      <c r="F193" s="13">
        <v>10.100000000000001</v>
      </c>
      <c r="K193" s="32"/>
    </row>
    <row r="194" spans="1:11" ht="15" customHeight="1">
      <c r="A194" s="53"/>
      <c r="C194" s="66" t="s">
        <v>835</v>
      </c>
      <c r="D194" s="18" t="s">
        <v>275</v>
      </c>
      <c r="F194" s="13">
        <v>38.800000000000004</v>
      </c>
      <c r="K194" s="32"/>
    </row>
    <row r="195" spans="1:11" ht="15" customHeight="1">
      <c r="A195" s="53"/>
      <c r="C195" s="66" t="s">
        <v>816</v>
      </c>
      <c r="D195" s="18" t="s">
        <v>275</v>
      </c>
      <c r="F195" s="13">
        <v>9.8</v>
      </c>
      <c r="K195" s="32"/>
    </row>
    <row r="196" spans="1:11" ht="15" customHeight="1">
      <c r="A196" s="53"/>
      <c r="C196" s="66" t="s">
        <v>931</v>
      </c>
      <c r="D196" s="18" t="s">
        <v>161</v>
      </c>
      <c r="F196" s="13">
        <v>9.520000000000001</v>
      </c>
      <c r="K196" s="32"/>
    </row>
    <row r="197" spans="1:11" ht="15" customHeight="1">
      <c r="A197" s="53"/>
      <c r="C197" s="66" t="s">
        <v>514</v>
      </c>
      <c r="D197" s="18" t="s">
        <v>101</v>
      </c>
      <c r="F197" s="13">
        <v>7.500000000000001</v>
      </c>
      <c r="K197" s="32"/>
    </row>
    <row r="198" spans="1:75" ht="13.5" customHeight="1">
      <c r="A198" s="7" t="s">
        <v>652</v>
      </c>
      <c r="B198" s="11" t="s">
        <v>534</v>
      </c>
      <c r="C198" s="135" t="s">
        <v>812</v>
      </c>
      <c r="D198" s="130"/>
      <c r="E198" s="11" t="s">
        <v>695</v>
      </c>
      <c r="F198" s="15">
        <v>44.6</v>
      </c>
      <c r="G198" s="15">
        <v>0</v>
      </c>
      <c r="H198" s="15">
        <f>F198*AO198</f>
        <v>0</v>
      </c>
      <c r="I198" s="15">
        <f>F198*AP198</f>
        <v>0</v>
      </c>
      <c r="J198" s="15">
        <f>F198*G198</f>
        <v>0</v>
      </c>
      <c r="K198" s="12" t="s">
        <v>406</v>
      </c>
      <c r="Z198" s="15">
        <f>IF(AQ198="5",BJ198,0)</f>
        <v>0</v>
      </c>
      <c r="AB198" s="15">
        <f>IF(AQ198="1",BH198,0)</f>
        <v>0</v>
      </c>
      <c r="AC198" s="15">
        <f>IF(AQ198="1",BI198,0)</f>
        <v>0</v>
      </c>
      <c r="AD198" s="15">
        <f>IF(AQ198="7",BH198,0)</f>
        <v>0</v>
      </c>
      <c r="AE198" s="15">
        <f>IF(AQ198="7",BI198,0)</f>
        <v>0</v>
      </c>
      <c r="AF198" s="15">
        <f>IF(AQ198="2",BH198,0)</f>
        <v>0</v>
      </c>
      <c r="AG198" s="15">
        <f>IF(AQ198="2",BI198,0)</f>
        <v>0</v>
      </c>
      <c r="AH198" s="15">
        <f>IF(AQ198="0",BJ198,0)</f>
        <v>0</v>
      </c>
      <c r="AI198" s="52" t="s">
        <v>566</v>
      </c>
      <c r="AJ198" s="15">
        <f>IF(AN198=0,J198,0)</f>
        <v>0</v>
      </c>
      <c r="AK198" s="15">
        <f>IF(AN198=12,J198,0)</f>
        <v>0</v>
      </c>
      <c r="AL198" s="15">
        <f>IF(AN198=21,J198,0)</f>
        <v>0</v>
      </c>
      <c r="AN198" s="15">
        <v>21</v>
      </c>
      <c r="AO198" s="15">
        <f>G198*0</f>
        <v>0</v>
      </c>
      <c r="AP198" s="15">
        <f>G198*(1-0)</f>
        <v>0</v>
      </c>
      <c r="AQ198" s="1" t="s">
        <v>831</v>
      </c>
      <c r="AV198" s="15">
        <f>AW198+AX198</f>
        <v>0</v>
      </c>
      <c r="AW198" s="15">
        <f>F198*AO198</f>
        <v>0</v>
      </c>
      <c r="AX198" s="15">
        <f>F198*AP198</f>
        <v>0</v>
      </c>
      <c r="AY198" s="1" t="s">
        <v>678</v>
      </c>
      <c r="AZ198" s="1" t="s">
        <v>912</v>
      </c>
      <c r="BA198" s="52" t="s">
        <v>870</v>
      </c>
      <c r="BC198" s="15">
        <f>AW198+AX198</f>
        <v>0</v>
      </c>
      <c r="BD198" s="15">
        <f>G198/(100-BE198)*100</f>
        <v>0</v>
      </c>
      <c r="BE198" s="15">
        <v>0</v>
      </c>
      <c r="BF198" s="15">
        <f>198</f>
        <v>198</v>
      </c>
      <c r="BH198" s="15">
        <f>F198*AO198</f>
        <v>0</v>
      </c>
      <c r="BI198" s="15">
        <f>F198*AP198</f>
        <v>0</v>
      </c>
      <c r="BJ198" s="15">
        <f>F198*G198</f>
        <v>0</v>
      </c>
      <c r="BK198" s="15"/>
      <c r="BL198" s="15">
        <v>764</v>
      </c>
      <c r="BW198" s="15">
        <v>21</v>
      </c>
    </row>
    <row r="199" spans="1:11" ht="15" customHeight="1">
      <c r="A199" s="53"/>
      <c r="C199" s="66" t="s">
        <v>186</v>
      </c>
      <c r="D199" s="18" t="s">
        <v>636</v>
      </c>
      <c r="F199" s="13">
        <v>44.6</v>
      </c>
      <c r="K199" s="32"/>
    </row>
    <row r="200" spans="1:75" ht="13.5" customHeight="1">
      <c r="A200" s="7" t="s">
        <v>693</v>
      </c>
      <c r="B200" s="11" t="s">
        <v>345</v>
      </c>
      <c r="C200" s="135" t="s">
        <v>659</v>
      </c>
      <c r="D200" s="130"/>
      <c r="E200" s="11" t="s">
        <v>695</v>
      </c>
      <c r="F200" s="15">
        <v>32.5</v>
      </c>
      <c r="G200" s="15">
        <v>0</v>
      </c>
      <c r="H200" s="15">
        <f>F200*AO200</f>
        <v>0</v>
      </c>
      <c r="I200" s="15">
        <f>F200*AP200</f>
        <v>0</v>
      </c>
      <c r="J200" s="15">
        <f>F200*G200</f>
        <v>0</v>
      </c>
      <c r="K200" s="12" t="s">
        <v>406</v>
      </c>
      <c r="Z200" s="15">
        <f>IF(AQ200="5",BJ200,0)</f>
        <v>0</v>
      </c>
      <c r="AB200" s="15">
        <f>IF(AQ200="1",BH200,0)</f>
        <v>0</v>
      </c>
      <c r="AC200" s="15">
        <f>IF(AQ200="1",BI200,0)</f>
        <v>0</v>
      </c>
      <c r="AD200" s="15">
        <f>IF(AQ200="7",BH200,0)</f>
        <v>0</v>
      </c>
      <c r="AE200" s="15">
        <f>IF(AQ200="7",BI200,0)</f>
        <v>0</v>
      </c>
      <c r="AF200" s="15">
        <f>IF(AQ200="2",BH200,0)</f>
        <v>0</v>
      </c>
      <c r="AG200" s="15">
        <f>IF(AQ200="2",BI200,0)</f>
        <v>0</v>
      </c>
      <c r="AH200" s="15">
        <f>IF(AQ200="0",BJ200,0)</f>
        <v>0</v>
      </c>
      <c r="AI200" s="52" t="s">
        <v>566</v>
      </c>
      <c r="AJ200" s="15">
        <f>IF(AN200=0,J200,0)</f>
        <v>0</v>
      </c>
      <c r="AK200" s="15">
        <f>IF(AN200=12,J200,0)</f>
        <v>0</v>
      </c>
      <c r="AL200" s="15">
        <f>IF(AN200=21,J200,0)</f>
        <v>0</v>
      </c>
      <c r="AN200" s="15">
        <v>21</v>
      </c>
      <c r="AO200" s="15">
        <f>G200*0</f>
        <v>0</v>
      </c>
      <c r="AP200" s="15">
        <f>G200*(1-0)</f>
        <v>0</v>
      </c>
      <c r="AQ200" s="1" t="s">
        <v>831</v>
      </c>
      <c r="AV200" s="15">
        <f>AW200+AX200</f>
        <v>0</v>
      </c>
      <c r="AW200" s="15">
        <f>F200*AO200</f>
        <v>0</v>
      </c>
      <c r="AX200" s="15">
        <f>F200*AP200</f>
        <v>0</v>
      </c>
      <c r="AY200" s="1" t="s">
        <v>678</v>
      </c>
      <c r="AZ200" s="1" t="s">
        <v>912</v>
      </c>
      <c r="BA200" s="52" t="s">
        <v>870</v>
      </c>
      <c r="BC200" s="15">
        <f>AW200+AX200</f>
        <v>0</v>
      </c>
      <c r="BD200" s="15">
        <f>G200/(100-BE200)*100</f>
        <v>0</v>
      </c>
      <c r="BE200" s="15">
        <v>0</v>
      </c>
      <c r="BF200" s="15">
        <f>200</f>
        <v>200</v>
      </c>
      <c r="BH200" s="15">
        <f>F200*AO200</f>
        <v>0</v>
      </c>
      <c r="BI200" s="15">
        <f>F200*AP200</f>
        <v>0</v>
      </c>
      <c r="BJ200" s="15">
        <f>F200*G200</f>
        <v>0</v>
      </c>
      <c r="BK200" s="15"/>
      <c r="BL200" s="15">
        <v>764</v>
      </c>
      <c r="BW200" s="15">
        <v>21</v>
      </c>
    </row>
    <row r="201" spans="1:11" ht="15" customHeight="1">
      <c r="A201" s="53"/>
      <c r="C201" s="66" t="s">
        <v>220</v>
      </c>
      <c r="D201" s="18" t="s">
        <v>183</v>
      </c>
      <c r="F201" s="13">
        <v>32.5</v>
      </c>
      <c r="K201" s="32"/>
    </row>
    <row r="202" spans="1:75" ht="13.5" customHeight="1">
      <c r="A202" s="7" t="s">
        <v>388</v>
      </c>
      <c r="B202" s="11" t="s">
        <v>734</v>
      </c>
      <c r="C202" s="135" t="s">
        <v>758</v>
      </c>
      <c r="D202" s="130"/>
      <c r="E202" s="11" t="s">
        <v>695</v>
      </c>
      <c r="F202" s="15">
        <v>8.1</v>
      </c>
      <c r="G202" s="15">
        <v>0</v>
      </c>
      <c r="H202" s="15">
        <f>F202*AO202</f>
        <v>0</v>
      </c>
      <c r="I202" s="15">
        <f>F202*AP202</f>
        <v>0</v>
      </c>
      <c r="J202" s="15">
        <f>F202*G202</f>
        <v>0</v>
      </c>
      <c r="K202" s="12" t="s">
        <v>406</v>
      </c>
      <c r="Z202" s="15">
        <f>IF(AQ202="5",BJ202,0)</f>
        <v>0</v>
      </c>
      <c r="AB202" s="15">
        <f>IF(AQ202="1",BH202,0)</f>
        <v>0</v>
      </c>
      <c r="AC202" s="15">
        <f>IF(AQ202="1",BI202,0)</f>
        <v>0</v>
      </c>
      <c r="AD202" s="15">
        <f>IF(AQ202="7",BH202,0)</f>
        <v>0</v>
      </c>
      <c r="AE202" s="15">
        <f>IF(AQ202="7",BI202,0)</f>
        <v>0</v>
      </c>
      <c r="AF202" s="15">
        <f>IF(AQ202="2",BH202,0)</f>
        <v>0</v>
      </c>
      <c r="AG202" s="15">
        <f>IF(AQ202="2",BI202,0)</f>
        <v>0</v>
      </c>
      <c r="AH202" s="15">
        <f>IF(AQ202="0",BJ202,0)</f>
        <v>0</v>
      </c>
      <c r="AI202" s="52" t="s">
        <v>566</v>
      </c>
      <c r="AJ202" s="15">
        <f>IF(AN202=0,J202,0)</f>
        <v>0</v>
      </c>
      <c r="AK202" s="15">
        <f>IF(AN202=12,J202,0)</f>
        <v>0</v>
      </c>
      <c r="AL202" s="15">
        <f>IF(AN202=21,J202,0)</f>
        <v>0</v>
      </c>
      <c r="AN202" s="15">
        <v>21</v>
      </c>
      <c r="AO202" s="15">
        <f>G202*0.374517133956386</f>
        <v>0</v>
      </c>
      <c r="AP202" s="15">
        <f>G202*(1-0.374517133956386)</f>
        <v>0</v>
      </c>
      <c r="AQ202" s="1" t="s">
        <v>831</v>
      </c>
      <c r="AV202" s="15">
        <f>AW202+AX202</f>
        <v>0</v>
      </c>
      <c r="AW202" s="15">
        <f>F202*AO202</f>
        <v>0</v>
      </c>
      <c r="AX202" s="15">
        <f>F202*AP202</f>
        <v>0</v>
      </c>
      <c r="AY202" s="1" t="s">
        <v>678</v>
      </c>
      <c r="AZ202" s="1" t="s">
        <v>912</v>
      </c>
      <c r="BA202" s="52" t="s">
        <v>870</v>
      </c>
      <c r="BC202" s="15">
        <f>AW202+AX202</f>
        <v>0</v>
      </c>
      <c r="BD202" s="15">
        <f>G202/(100-BE202)*100</f>
        <v>0</v>
      </c>
      <c r="BE202" s="15">
        <v>0</v>
      </c>
      <c r="BF202" s="15">
        <f>202</f>
        <v>202</v>
      </c>
      <c r="BH202" s="15">
        <f>F202*AO202</f>
        <v>0</v>
      </c>
      <c r="BI202" s="15">
        <f>F202*AP202</f>
        <v>0</v>
      </c>
      <c r="BJ202" s="15">
        <f>F202*G202</f>
        <v>0</v>
      </c>
      <c r="BK202" s="15"/>
      <c r="BL202" s="15">
        <v>764</v>
      </c>
      <c r="BW202" s="15">
        <v>21</v>
      </c>
    </row>
    <row r="203" spans="1:11" ht="13.5" customHeight="1">
      <c r="A203" s="53"/>
      <c r="C203" s="202" t="s">
        <v>70</v>
      </c>
      <c r="D203" s="211"/>
      <c r="E203" s="211"/>
      <c r="F203" s="211"/>
      <c r="G203" s="211"/>
      <c r="H203" s="211"/>
      <c r="I203" s="211"/>
      <c r="J203" s="211"/>
      <c r="K203" s="212"/>
    </row>
    <row r="204" spans="1:11" ht="15" customHeight="1">
      <c r="A204" s="53"/>
      <c r="C204" s="66" t="s">
        <v>839</v>
      </c>
      <c r="D204" s="18" t="s">
        <v>756</v>
      </c>
      <c r="F204" s="13">
        <v>7.2</v>
      </c>
      <c r="K204" s="32"/>
    </row>
    <row r="205" spans="1:11" ht="15" customHeight="1">
      <c r="A205" s="53"/>
      <c r="C205" s="66" t="s">
        <v>889</v>
      </c>
      <c r="D205" s="18" t="s">
        <v>542</v>
      </c>
      <c r="F205" s="13">
        <v>0.9</v>
      </c>
      <c r="K205" s="32"/>
    </row>
    <row r="206" spans="1:75" ht="13.5" customHeight="1">
      <c r="A206" s="7" t="s">
        <v>381</v>
      </c>
      <c r="B206" s="11" t="s">
        <v>661</v>
      </c>
      <c r="C206" s="135" t="s">
        <v>737</v>
      </c>
      <c r="D206" s="130"/>
      <c r="E206" s="11" t="s">
        <v>695</v>
      </c>
      <c r="F206" s="15">
        <v>3.9</v>
      </c>
      <c r="G206" s="15">
        <v>0</v>
      </c>
      <c r="H206" s="15">
        <f>F206*AO206</f>
        <v>0</v>
      </c>
      <c r="I206" s="15">
        <f>F206*AP206</f>
        <v>0</v>
      </c>
      <c r="J206" s="15">
        <f>F206*G206</f>
        <v>0</v>
      </c>
      <c r="K206" s="12" t="s">
        <v>406</v>
      </c>
      <c r="Z206" s="15">
        <f>IF(AQ206="5",BJ206,0)</f>
        <v>0</v>
      </c>
      <c r="AB206" s="15">
        <f>IF(AQ206="1",BH206,0)</f>
        <v>0</v>
      </c>
      <c r="AC206" s="15">
        <f>IF(AQ206="1",BI206,0)</f>
        <v>0</v>
      </c>
      <c r="AD206" s="15">
        <f>IF(AQ206="7",BH206,0)</f>
        <v>0</v>
      </c>
      <c r="AE206" s="15">
        <f>IF(AQ206="7",BI206,0)</f>
        <v>0</v>
      </c>
      <c r="AF206" s="15">
        <f>IF(AQ206="2",BH206,0)</f>
        <v>0</v>
      </c>
      <c r="AG206" s="15">
        <f>IF(AQ206="2",BI206,0)</f>
        <v>0</v>
      </c>
      <c r="AH206" s="15">
        <f>IF(AQ206="0",BJ206,0)</f>
        <v>0</v>
      </c>
      <c r="AI206" s="52" t="s">
        <v>566</v>
      </c>
      <c r="AJ206" s="15">
        <f>IF(AN206=0,J206,0)</f>
        <v>0</v>
      </c>
      <c r="AK206" s="15">
        <f>IF(AN206=12,J206,0)</f>
        <v>0</v>
      </c>
      <c r="AL206" s="15">
        <f>IF(AN206=21,J206,0)</f>
        <v>0</v>
      </c>
      <c r="AN206" s="15">
        <v>21</v>
      </c>
      <c r="AO206" s="15">
        <f>G206*0.393605633802817</f>
        <v>0</v>
      </c>
      <c r="AP206" s="15">
        <f>G206*(1-0.393605633802817)</f>
        <v>0</v>
      </c>
      <c r="AQ206" s="1" t="s">
        <v>831</v>
      </c>
      <c r="AV206" s="15">
        <f>AW206+AX206</f>
        <v>0</v>
      </c>
      <c r="AW206" s="15">
        <f>F206*AO206</f>
        <v>0</v>
      </c>
      <c r="AX206" s="15">
        <f>F206*AP206</f>
        <v>0</v>
      </c>
      <c r="AY206" s="1" t="s">
        <v>678</v>
      </c>
      <c r="AZ206" s="1" t="s">
        <v>912</v>
      </c>
      <c r="BA206" s="52" t="s">
        <v>870</v>
      </c>
      <c r="BC206" s="15">
        <f>AW206+AX206</f>
        <v>0</v>
      </c>
      <c r="BD206" s="15">
        <f>G206/(100-BE206)*100</f>
        <v>0</v>
      </c>
      <c r="BE206" s="15">
        <v>0</v>
      </c>
      <c r="BF206" s="15">
        <f>206</f>
        <v>206</v>
      </c>
      <c r="BH206" s="15">
        <f>F206*AO206</f>
        <v>0</v>
      </c>
      <c r="BI206" s="15">
        <f>F206*AP206</f>
        <v>0</v>
      </c>
      <c r="BJ206" s="15">
        <f>F206*G206</f>
        <v>0</v>
      </c>
      <c r="BK206" s="15"/>
      <c r="BL206" s="15">
        <v>764</v>
      </c>
      <c r="BW206" s="15">
        <v>21</v>
      </c>
    </row>
    <row r="207" spans="1:11" ht="13.5" customHeight="1">
      <c r="A207" s="53"/>
      <c r="C207" s="202" t="s">
        <v>488</v>
      </c>
      <c r="D207" s="211"/>
      <c r="E207" s="211"/>
      <c r="F207" s="211"/>
      <c r="G207" s="211"/>
      <c r="H207" s="211"/>
      <c r="I207" s="211"/>
      <c r="J207" s="211"/>
      <c r="K207" s="212"/>
    </row>
    <row r="208" spans="1:11" ht="15" customHeight="1">
      <c r="A208" s="53"/>
      <c r="C208" s="66" t="s">
        <v>606</v>
      </c>
      <c r="D208" s="18" t="s">
        <v>336</v>
      </c>
      <c r="F208" s="13">
        <v>3.9000000000000004</v>
      </c>
      <c r="K208" s="32"/>
    </row>
    <row r="209" spans="1:75" ht="13.5" customHeight="1">
      <c r="A209" s="7" t="s">
        <v>418</v>
      </c>
      <c r="B209" s="11" t="s">
        <v>669</v>
      </c>
      <c r="C209" s="135" t="s">
        <v>593</v>
      </c>
      <c r="D209" s="130"/>
      <c r="E209" s="11" t="s">
        <v>695</v>
      </c>
      <c r="F209" s="15">
        <v>21</v>
      </c>
      <c r="G209" s="15">
        <v>0</v>
      </c>
      <c r="H209" s="15">
        <f>F209*AO209</f>
        <v>0</v>
      </c>
      <c r="I209" s="15">
        <f>F209*AP209</f>
        <v>0</v>
      </c>
      <c r="J209" s="15">
        <f>F209*G209</f>
        <v>0</v>
      </c>
      <c r="K209" s="12" t="s">
        <v>406</v>
      </c>
      <c r="Z209" s="15">
        <f>IF(AQ209="5",BJ209,0)</f>
        <v>0</v>
      </c>
      <c r="AB209" s="15">
        <f>IF(AQ209="1",BH209,0)</f>
        <v>0</v>
      </c>
      <c r="AC209" s="15">
        <f>IF(AQ209="1",BI209,0)</f>
        <v>0</v>
      </c>
      <c r="AD209" s="15">
        <f>IF(AQ209="7",BH209,0)</f>
        <v>0</v>
      </c>
      <c r="AE209" s="15">
        <f>IF(AQ209="7",BI209,0)</f>
        <v>0</v>
      </c>
      <c r="AF209" s="15">
        <f>IF(AQ209="2",BH209,0)</f>
        <v>0</v>
      </c>
      <c r="AG209" s="15">
        <f>IF(AQ209="2",BI209,0)</f>
        <v>0</v>
      </c>
      <c r="AH209" s="15">
        <f>IF(AQ209="0",BJ209,0)</f>
        <v>0</v>
      </c>
      <c r="AI209" s="52" t="s">
        <v>566</v>
      </c>
      <c r="AJ209" s="15">
        <f>IF(AN209=0,J209,0)</f>
        <v>0</v>
      </c>
      <c r="AK209" s="15">
        <f>IF(AN209=12,J209,0)</f>
        <v>0</v>
      </c>
      <c r="AL209" s="15">
        <f>IF(AN209=21,J209,0)</f>
        <v>0</v>
      </c>
      <c r="AN209" s="15">
        <v>21</v>
      </c>
      <c r="AO209" s="15">
        <f>G209*0.316472795497186</f>
        <v>0</v>
      </c>
      <c r="AP209" s="15">
        <f>G209*(1-0.316472795497186)</f>
        <v>0</v>
      </c>
      <c r="AQ209" s="1" t="s">
        <v>831</v>
      </c>
      <c r="AV209" s="15">
        <f>AW209+AX209</f>
        <v>0</v>
      </c>
      <c r="AW209" s="15">
        <f>F209*AO209</f>
        <v>0</v>
      </c>
      <c r="AX209" s="15">
        <f>F209*AP209</f>
        <v>0</v>
      </c>
      <c r="AY209" s="1" t="s">
        <v>678</v>
      </c>
      <c r="AZ209" s="1" t="s">
        <v>912</v>
      </c>
      <c r="BA209" s="52" t="s">
        <v>870</v>
      </c>
      <c r="BC209" s="15">
        <f>AW209+AX209</f>
        <v>0</v>
      </c>
      <c r="BD209" s="15">
        <f>G209/(100-BE209)*100</f>
        <v>0</v>
      </c>
      <c r="BE209" s="15">
        <v>0</v>
      </c>
      <c r="BF209" s="15">
        <f>209</f>
        <v>209</v>
      </c>
      <c r="BH209" s="15">
        <f>F209*AO209</f>
        <v>0</v>
      </c>
      <c r="BI209" s="15">
        <f>F209*AP209</f>
        <v>0</v>
      </c>
      <c r="BJ209" s="15">
        <f>F209*G209</f>
        <v>0</v>
      </c>
      <c r="BK209" s="15"/>
      <c r="BL209" s="15">
        <v>764</v>
      </c>
      <c r="BW209" s="15">
        <v>21</v>
      </c>
    </row>
    <row r="210" spans="1:11" ht="13.5" customHeight="1">
      <c r="A210" s="53"/>
      <c r="C210" s="202" t="s">
        <v>488</v>
      </c>
      <c r="D210" s="211"/>
      <c r="E210" s="211"/>
      <c r="F210" s="211"/>
      <c r="G210" s="211"/>
      <c r="H210" s="211"/>
      <c r="I210" s="211"/>
      <c r="J210" s="211"/>
      <c r="K210" s="212"/>
    </row>
    <row r="211" spans="1:11" ht="15" customHeight="1">
      <c r="A211" s="53"/>
      <c r="C211" s="66" t="s">
        <v>738</v>
      </c>
      <c r="D211" s="18" t="s">
        <v>524</v>
      </c>
      <c r="F211" s="13">
        <v>7.6000000000000005</v>
      </c>
      <c r="K211" s="32"/>
    </row>
    <row r="212" spans="1:11" ht="15" customHeight="1">
      <c r="A212" s="53"/>
      <c r="C212" s="66" t="s">
        <v>738</v>
      </c>
      <c r="D212" s="18" t="s">
        <v>428</v>
      </c>
      <c r="F212" s="13">
        <v>7.6000000000000005</v>
      </c>
      <c r="K212" s="32"/>
    </row>
    <row r="213" spans="1:11" ht="15" customHeight="1">
      <c r="A213" s="53"/>
      <c r="C213" s="66" t="s">
        <v>557</v>
      </c>
      <c r="D213" s="18" t="s">
        <v>105</v>
      </c>
      <c r="F213" s="13">
        <v>5.800000000000001</v>
      </c>
      <c r="K213" s="32"/>
    </row>
    <row r="214" spans="1:75" ht="13.5" customHeight="1">
      <c r="A214" s="7" t="s">
        <v>770</v>
      </c>
      <c r="B214" s="11" t="s">
        <v>456</v>
      </c>
      <c r="C214" s="135" t="s">
        <v>234</v>
      </c>
      <c r="D214" s="130"/>
      <c r="E214" s="11" t="s">
        <v>695</v>
      </c>
      <c r="F214" s="15">
        <v>10.1</v>
      </c>
      <c r="G214" s="15">
        <v>0</v>
      </c>
      <c r="H214" s="15">
        <f>F214*AO214</f>
        <v>0</v>
      </c>
      <c r="I214" s="15">
        <f>F214*AP214</f>
        <v>0</v>
      </c>
      <c r="J214" s="15">
        <f>F214*G214</f>
        <v>0</v>
      </c>
      <c r="K214" s="12" t="s">
        <v>406</v>
      </c>
      <c r="Z214" s="15">
        <f>IF(AQ214="5",BJ214,0)</f>
        <v>0</v>
      </c>
      <c r="AB214" s="15">
        <f>IF(AQ214="1",BH214,0)</f>
        <v>0</v>
      </c>
      <c r="AC214" s="15">
        <f>IF(AQ214="1",BI214,0)</f>
        <v>0</v>
      </c>
      <c r="AD214" s="15">
        <f>IF(AQ214="7",BH214,0)</f>
        <v>0</v>
      </c>
      <c r="AE214" s="15">
        <f>IF(AQ214="7",BI214,0)</f>
        <v>0</v>
      </c>
      <c r="AF214" s="15">
        <f>IF(AQ214="2",BH214,0)</f>
        <v>0</v>
      </c>
      <c r="AG214" s="15">
        <f>IF(AQ214="2",BI214,0)</f>
        <v>0</v>
      </c>
      <c r="AH214" s="15">
        <f>IF(AQ214="0",BJ214,0)</f>
        <v>0</v>
      </c>
      <c r="AI214" s="52" t="s">
        <v>566</v>
      </c>
      <c r="AJ214" s="15">
        <f>IF(AN214=0,J214,0)</f>
        <v>0</v>
      </c>
      <c r="AK214" s="15">
        <f>IF(AN214=12,J214,0)</f>
        <v>0</v>
      </c>
      <c r="AL214" s="15">
        <f>IF(AN214=21,J214,0)</f>
        <v>0</v>
      </c>
      <c r="AN214" s="15">
        <v>21</v>
      </c>
      <c r="AO214" s="15">
        <f>G214*0.470995641754032</f>
        <v>0</v>
      </c>
      <c r="AP214" s="15">
        <f>G214*(1-0.470995641754032)</f>
        <v>0</v>
      </c>
      <c r="AQ214" s="1" t="s">
        <v>831</v>
      </c>
      <c r="AV214" s="15">
        <f>AW214+AX214</f>
        <v>0</v>
      </c>
      <c r="AW214" s="15">
        <f>F214*AO214</f>
        <v>0</v>
      </c>
      <c r="AX214" s="15">
        <f>F214*AP214</f>
        <v>0</v>
      </c>
      <c r="AY214" s="1" t="s">
        <v>678</v>
      </c>
      <c r="AZ214" s="1" t="s">
        <v>912</v>
      </c>
      <c r="BA214" s="52" t="s">
        <v>870</v>
      </c>
      <c r="BC214" s="15">
        <f>AW214+AX214</f>
        <v>0</v>
      </c>
      <c r="BD214" s="15">
        <f>G214/(100-BE214)*100</f>
        <v>0</v>
      </c>
      <c r="BE214" s="15">
        <v>0</v>
      </c>
      <c r="BF214" s="15">
        <f>214</f>
        <v>214</v>
      </c>
      <c r="BH214" s="15">
        <f>F214*AO214</f>
        <v>0</v>
      </c>
      <c r="BI214" s="15">
        <f>F214*AP214</f>
        <v>0</v>
      </c>
      <c r="BJ214" s="15">
        <f>F214*G214</f>
        <v>0</v>
      </c>
      <c r="BK214" s="15"/>
      <c r="BL214" s="15">
        <v>764</v>
      </c>
      <c r="BW214" s="15">
        <v>21</v>
      </c>
    </row>
    <row r="215" spans="1:11" ht="13.5" customHeight="1">
      <c r="A215" s="53"/>
      <c r="C215" s="202" t="s">
        <v>488</v>
      </c>
      <c r="D215" s="211"/>
      <c r="E215" s="211"/>
      <c r="F215" s="211"/>
      <c r="G215" s="211"/>
      <c r="H215" s="211"/>
      <c r="I215" s="211"/>
      <c r="J215" s="211"/>
      <c r="K215" s="212"/>
    </row>
    <row r="216" spans="1:11" ht="15" customHeight="1">
      <c r="A216" s="53"/>
      <c r="C216" s="66" t="s">
        <v>178</v>
      </c>
      <c r="D216" s="18" t="s">
        <v>475</v>
      </c>
      <c r="F216" s="13">
        <v>10.100000000000001</v>
      </c>
      <c r="K216" s="32"/>
    </row>
    <row r="217" spans="1:75" ht="13.5" customHeight="1">
      <c r="A217" s="7" t="s">
        <v>553</v>
      </c>
      <c r="B217" s="11" t="s">
        <v>326</v>
      </c>
      <c r="C217" s="135" t="s">
        <v>940</v>
      </c>
      <c r="D217" s="130"/>
      <c r="E217" s="11" t="s">
        <v>695</v>
      </c>
      <c r="F217" s="15">
        <v>32.5</v>
      </c>
      <c r="G217" s="15">
        <v>0</v>
      </c>
      <c r="H217" s="15">
        <f>F217*AO217</f>
        <v>0</v>
      </c>
      <c r="I217" s="15">
        <f>F217*AP217</f>
        <v>0</v>
      </c>
      <c r="J217" s="15">
        <f>F217*G217</f>
        <v>0</v>
      </c>
      <c r="K217" s="12" t="s">
        <v>406</v>
      </c>
      <c r="Z217" s="15">
        <f>IF(AQ217="5",BJ217,0)</f>
        <v>0</v>
      </c>
      <c r="AB217" s="15">
        <f>IF(AQ217="1",BH217,0)</f>
        <v>0</v>
      </c>
      <c r="AC217" s="15">
        <f>IF(AQ217="1",BI217,0)</f>
        <v>0</v>
      </c>
      <c r="AD217" s="15">
        <f>IF(AQ217="7",BH217,0)</f>
        <v>0</v>
      </c>
      <c r="AE217" s="15">
        <f>IF(AQ217="7",BI217,0)</f>
        <v>0</v>
      </c>
      <c r="AF217" s="15">
        <f>IF(AQ217="2",BH217,0)</f>
        <v>0</v>
      </c>
      <c r="AG217" s="15">
        <f>IF(AQ217="2",BI217,0)</f>
        <v>0</v>
      </c>
      <c r="AH217" s="15">
        <f>IF(AQ217="0",BJ217,0)</f>
        <v>0</v>
      </c>
      <c r="AI217" s="52" t="s">
        <v>566</v>
      </c>
      <c r="AJ217" s="15">
        <f>IF(AN217=0,J217,0)</f>
        <v>0</v>
      </c>
      <c r="AK217" s="15">
        <f>IF(AN217=12,J217,0)</f>
        <v>0</v>
      </c>
      <c r="AL217" s="15">
        <f>IF(AN217=21,J217,0)</f>
        <v>0</v>
      </c>
      <c r="AN217" s="15">
        <v>21</v>
      </c>
      <c r="AO217" s="15">
        <f>G217*0.374644714038128</f>
        <v>0</v>
      </c>
      <c r="AP217" s="15">
        <f>G217*(1-0.374644714038128)</f>
        <v>0</v>
      </c>
      <c r="AQ217" s="1" t="s">
        <v>831</v>
      </c>
      <c r="AV217" s="15">
        <f>AW217+AX217</f>
        <v>0</v>
      </c>
      <c r="AW217" s="15">
        <f>F217*AO217</f>
        <v>0</v>
      </c>
      <c r="AX217" s="15">
        <f>F217*AP217</f>
        <v>0</v>
      </c>
      <c r="AY217" s="1" t="s">
        <v>678</v>
      </c>
      <c r="AZ217" s="1" t="s">
        <v>912</v>
      </c>
      <c r="BA217" s="52" t="s">
        <v>870</v>
      </c>
      <c r="BC217" s="15">
        <f>AW217+AX217</f>
        <v>0</v>
      </c>
      <c r="BD217" s="15">
        <f>G217/(100-BE217)*100</f>
        <v>0</v>
      </c>
      <c r="BE217" s="15">
        <v>0</v>
      </c>
      <c r="BF217" s="15">
        <f>217</f>
        <v>217</v>
      </c>
      <c r="BH217" s="15">
        <f>F217*AO217</f>
        <v>0</v>
      </c>
      <c r="BI217" s="15">
        <f>F217*AP217</f>
        <v>0</v>
      </c>
      <c r="BJ217" s="15">
        <f>F217*G217</f>
        <v>0</v>
      </c>
      <c r="BK217" s="15"/>
      <c r="BL217" s="15">
        <v>764</v>
      </c>
      <c r="BW217" s="15">
        <v>21</v>
      </c>
    </row>
    <row r="218" spans="1:11" ht="15" customHeight="1">
      <c r="A218" s="53"/>
      <c r="C218" s="66" t="s">
        <v>220</v>
      </c>
      <c r="D218" s="18" t="s">
        <v>183</v>
      </c>
      <c r="F218" s="13">
        <v>32.5</v>
      </c>
      <c r="K218" s="32"/>
    </row>
    <row r="219" spans="1:75" ht="13.5" customHeight="1">
      <c r="A219" s="7" t="s">
        <v>530</v>
      </c>
      <c r="B219" s="11" t="s">
        <v>38</v>
      </c>
      <c r="C219" s="135" t="s">
        <v>805</v>
      </c>
      <c r="D219" s="130"/>
      <c r="E219" s="11" t="s">
        <v>695</v>
      </c>
      <c r="F219" s="15">
        <v>44.6</v>
      </c>
      <c r="G219" s="15">
        <v>0</v>
      </c>
      <c r="H219" s="15">
        <f>F219*AO219</f>
        <v>0</v>
      </c>
      <c r="I219" s="15">
        <f>F219*AP219</f>
        <v>0</v>
      </c>
      <c r="J219" s="15">
        <f>F219*G219</f>
        <v>0</v>
      </c>
      <c r="K219" s="12" t="s">
        <v>406</v>
      </c>
      <c r="Z219" s="15">
        <f>IF(AQ219="5",BJ219,0)</f>
        <v>0</v>
      </c>
      <c r="AB219" s="15">
        <f>IF(AQ219="1",BH219,0)</f>
        <v>0</v>
      </c>
      <c r="AC219" s="15">
        <f>IF(AQ219="1",BI219,0)</f>
        <v>0</v>
      </c>
      <c r="AD219" s="15">
        <f>IF(AQ219="7",BH219,0)</f>
        <v>0</v>
      </c>
      <c r="AE219" s="15">
        <f>IF(AQ219="7",BI219,0)</f>
        <v>0</v>
      </c>
      <c r="AF219" s="15">
        <f>IF(AQ219="2",BH219,0)</f>
        <v>0</v>
      </c>
      <c r="AG219" s="15">
        <f>IF(AQ219="2",BI219,0)</f>
        <v>0</v>
      </c>
      <c r="AH219" s="15">
        <f>IF(AQ219="0",BJ219,0)</f>
        <v>0</v>
      </c>
      <c r="AI219" s="52" t="s">
        <v>566</v>
      </c>
      <c r="AJ219" s="15">
        <f>IF(AN219=0,J219,0)</f>
        <v>0</v>
      </c>
      <c r="AK219" s="15">
        <f>IF(AN219=12,J219,0)</f>
        <v>0</v>
      </c>
      <c r="AL219" s="15">
        <f>IF(AN219=21,J219,0)</f>
        <v>0</v>
      </c>
      <c r="AN219" s="15">
        <v>21</v>
      </c>
      <c r="AO219" s="15">
        <f>G219*0.333731060606061</f>
        <v>0</v>
      </c>
      <c r="AP219" s="15">
        <f>G219*(1-0.333731060606061)</f>
        <v>0</v>
      </c>
      <c r="AQ219" s="1" t="s">
        <v>831</v>
      </c>
      <c r="AV219" s="15">
        <f>AW219+AX219</f>
        <v>0</v>
      </c>
      <c r="AW219" s="15">
        <f>F219*AO219</f>
        <v>0</v>
      </c>
      <c r="AX219" s="15">
        <f>F219*AP219</f>
        <v>0</v>
      </c>
      <c r="AY219" s="1" t="s">
        <v>678</v>
      </c>
      <c r="AZ219" s="1" t="s">
        <v>912</v>
      </c>
      <c r="BA219" s="52" t="s">
        <v>870</v>
      </c>
      <c r="BC219" s="15">
        <f>AW219+AX219</f>
        <v>0</v>
      </c>
      <c r="BD219" s="15">
        <f>G219/(100-BE219)*100</f>
        <v>0</v>
      </c>
      <c r="BE219" s="15">
        <v>0</v>
      </c>
      <c r="BF219" s="15">
        <f>219</f>
        <v>219</v>
      </c>
      <c r="BH219" s="15">
        <f>F219*AO219</f>
        <v>0</v>
      </c>
      <c r="BI219" s="15">
        <f>F219*AP219</f>
        <v>0</v>
      </c>
      <c r="BJ219" s="15">
        <f>F219*G219</f>
        <v>0</v>
      </c>
      <c r="BK219" s="15"/>
      <c r="BL219" s="15">
        <v>764</v>
      </c>
      <c r="BW219" s="15">
        <v>21</v>
      </c>
    </row>
    <row r="220" spans="1:11" ht="15" customHeight="1">
      <c r="A220" s="53"/>
      <c r="C220" s="66" t="s">
        <v>186</v>
      </c>
      <c r="D220" s="18" t="s">
        <v>636</v>
      </c>
      <c r="F220" s="13">
        <v>44.6</v>
      </c>
      <c r="K220" s="32"/>
    </row>
    <row r="221" spans="1:75" ht="13.5" customHeight="1">
      <c r="A221" s="7" t="s">
        <v>793</v>
      </c>
      <c r="B221" s="11" t="s">
        <v>852</v>
      </c>
      <c r="C221" s="135" t="s">
        <v>676</v>
      </c>
      <c r="D221" s="130"/>
      <c r="E221" s="11" t="s">
        <v>695</v>
      </c>
      <c r="F221" s="15">
        <v>48.6</v>
      </c>
      <c r="G221" s="15">
        <v>0</v>
      </c>
      <c r="H221" s="15">
        <f>F221*AO221</f>
        <v>0</v>
      </c>
      <c r="I221" s="15">
        <f>F221*AP221</f>
        <v>0</v>
      </c>
      <c r="J221" s="15">
        <f>F221*G221</f>
        <v>0</v>
      </c>
      <c r="K221" s="12" t="s">
        <v>406</v>
      </c>
      <c r="Z221" s="15">
        <f>IF(AQ221="5",BJ221,0)</f>
        <v>0</v>
      </c>
      <c r="AB221" s="15">
        <f>IF(AQ221="1",BH221,0)</f>
        <v>0</v>
      </c>
      <c r="AC221" s="15">
        <f>IF(AQ221="1",BI221,0)</f>
        <v>0</v>
      </c>
      <c r="AD221" s="15">
        <f>IF(AQ221="7",BH221,0)</f>
        <v>0</v>
      </c>
      <c r="AE221" s="15">
        <f>IF(AQ221="7",BI221,0)</f>
        <v>0</v>
      </c>
      <c r="AF221" s="15">
        <f>IF(AQ221="2",BH221,0)</f>
        <v>0</v>
      </c>
      <c r="AG221" s="15">
        <f>IF(AQ221="2",BI221,0)</f>
        <v>0</v>
      </c>
      <c r="AH221" s="15">
        <f>IF(AQ221="0",BJ221,0)</f>
        <v>0</v>
      </c>
      <c r="AI221" s="52" t="s">
        <v>566</v>
      </c>
      <c r="AJ221" s="15">
        <f>IF(AN221=0,J221,0)</f>
        <v>0</v>
      </c>
      <c r="AK221" s="15">
        <f>IF(AN221=12,J221,0)</f>
        <v>0</v>
      </c>
      <c r="AL221" s="15">
        <f>IF(AN221=21,J221,0)</f>
        <v>0</v>
      </c>
      <c r="AN221" s="15">
        <v>21</v>
      </c>
      <c r="AO221" s="15">
        <f>G221*0.740633663366337</f>
        <v>0</v>
      </c>
      <c r="AP221" s="15">
        <f>G221*(1-0.740633663366337)</f>
        <v>0</v>
      </c>
      <c r="AQ221" s="1" t="s">
        <v>831</v>
      </c>
      <c r="AV221" s="15">
        <f>AW221+AX221</f>
        <v>0</v>
      </c>
      <c r="AW221" s="15">
        <f>F221*AO221</f>
        <v>0</v>
      </c>
      <c r="AX221" s="15">
        <f>F221*AP221</f>
        <v>0</v>
      </c>
      <c r="AY221" s="1" t="s">
        <v>678</v>
      </c>
      <c r="AZ221" s="1" t="s">
        <v>912</v>
      </c>
      <c r="BA221" s="52" t="s">
        <v>870</v>
      </c>
      <c r="BC221" s="15">
        <f>AW221+AX221</f>
        <v>0</v>
      </c>
      <c r="BD221" s="15">
        <f>G221/(100-BE221)*100</f>
        <v>0</v>
      </c>
      <c r="BE221" s="15">
        <v>0</v>
      </c>
      <c r="BF221" s="15">
        <f>221</f>
        <v>221</v>
      </c>
      <c r="BH221" s="15">
        <f>F221*AO221</f>
        <v>0</v>
      </c>
      <c r="BI221" s="15">
        <f>F221*AP221</f>
        <v>0</v>
      </c>
      <c r="BJ221" s="15">
        <f>F221*G221</f>
        <v>0</v>
      </c>
      <c r="BK221" s="15"/>
      <c r="BL221" s="15">
        <v>764</v>
      </c>
      <c r="BW221" s="15">
        <v>21</v>
      </c>
    </row>
    <row r="222" spans="1:11" ht="15" customHeight="1">
      <c r="A222" s="53"/>
      <c r="C222" s="66" t="s">
        <v>835</v>
      </c>
      <c r="D222" s="18" t="s">
        <v>275</v>
      </c>
      <c r="F222" s="13">
        <v>38.800000000000004</v>
      </c>
      <c r="K222" s="32"/>
    </row>
    <row r="223" spans="1:11" ht="15" customHeight="1">
      <c r="A223" s="53"/>
      <c r="C223" s="66" t="s">
        <v>816</v>
      </c>
      <c r="D223" s="18" t="s">
        <v>577</v>
      </c>
      <c r="F223" s="13">
        <v>9.8</v>
      </c>
      <c r="K223" s="32"/>
    </row>
    <row r="224" spans="1:75" ht="13.5" customHeight="1">
      <c r="A224" s="7" t="s">
        <v>496</v>
      </c>
      <c r="B224" s="11" t="s">
        <v>704</v>
      </c>
      <c r="C224" s="135" t="s">
        <v>11</v>
      </c>
      <c r="D224" s="130"/>
      <c r="E224" s="11" t="s">
        <v>695</v>
      </c>
      <c r="F224" s="15">
        <v>9.52</v>
      </c>
      <c r="G224" s="15">
        <v>0</v>
      </c>
      <c r="H224" s="15">
        <f>F224*AO224</f>
        <v>0</v>
      </c>
      <c r="I224" s="15">
        <f>F224*AP224</f>
        <v>0</v>
      </c>
      <c r="J224" s="15">
        <f>F224*G224</f>
        <v>0</v>
      </c>
      <c r="K224" s="12" t="s">
        <v>406</v>
      </c>
      <c r="Z224" s="15">
        <f>IF(AQ224="5",BJ224,0)</f>
        <v>0</v>
      </c>
      <c r="AB224" s="15">
        <f>IF(AQ224="1",BH224,0)</f>
        <v>0</v>
      </c>
      <c r="AC224" s="15">
        <f>IF(AQ224="1",BI224,0)</f>
        <v>0</v>
      </c>
      <c r="AD224" s="15">
        <f>IF(AQ224="7",BH224,0)</f>
        <v>0</v>
      </c>
      <c r="AE224" s="15">
        <f>IF(AQ224="7",BI224,0)</f>
        <v>0</v>
      </c>
      <c r="AF224" s="15">
        <f>IF(AQ224="2",BH224,0)</f>
        <v>0</v>
      </c>
      <c r="AG224" s="15">
        <f>IF(AQ224="2",BI224,0)</f>
        <v>0</v>
      </c>
      <c r="AH224" s="15">
        <f>IF(AQ224="0",BJ224,0)</f>
        <v>0</v>
      </c>
      <c r="AI224" s="52" t="s">
        <v>566</v>
      </c>
      <c r="AJ224" s="15">
        <f>IF(AN224=0,J224,0)</f>
        <v>0</v>
      </c>
      <c r="AK224" s="15">
        <f>IF(AN224=12,J224,0)</f>
        <v>0</v>
      </c>
      <c r="AL224" s="15">
        <f>IF(AN224=21,J224,0)</f>
        <v>0</v>
      </c>
      <c r="AN224" s="15">
        <v>21</v>
      </c>
      <c r="AO224" s="15">
        <f>G224*0.673468697123519</f>
        <v>0</v>
      </c>
      <c r="AP224" s="15">
        <f>G224*(1-0.673468697123519)</f>
        <v>0</v>
      </c>
      <c r="AQ224" s="1" t="s">
        <v>831</v>
      </c>
      <c r="AV224" s="15">
        <f>AW224+AX224</f>
        <v>0</v>
      </c>
      <c r="AW224" s="15">
        <f>F224*AO224</f>
        <v>0</v>
      </c>
      <c r="AX224" s="15">
        <f>F224*AP224</f>
        <v>0</v>
      </c>
      <c r="AY224" s="1" t="s">
        <v>678</v>
      </c>
      <c r="AZ224" s="1" t="s">
        <v>912</v>
      </c>
      <c r="BA224" s="52" t="s">
        <v>870</v>
      </c>
      <c r="BC224" s="15">
        <f>AW224+AX224</f>
        <v>0</v>
      </c>
      <c r="BD224" s="15">
        <f>G224/(100-BE224)*100</f>
        <v>0</v>
      </c>
      <c r="BE224" s="15">
        <v>0</v>
      </c>
      <c r="BF224" s="15">
        <f>224</f>
        <v>224</v>
      </c>
      <c r="BH224" s="15">
        <f>F224*AO224</f>
        <v>0</v>
      </c>
      <c r="BI224" s="15">
        <f>F224*AP224</f>
        <v>0</v>
      </c>
      <c r="BJ224" s="15">
        <f>F224*G224</f>
        <v>0</v>
      </c>
      <c r="BK224" s="15"/>
      <c r="BL224" s="15">
        <v>764</v>
      </c>
      <c r="BW224" s="15">
        <v>21</v>
      </c>
    </row>
    <row r="225" spans="1:11" ht="15" customHeight="1">
      <c r="A225" s="53"/>
      <c r="C225" s="66" t="s">
        <v>931</v>
      </c>
      <c r="D225" s="18" t="s">
        <v>161</v>
      </c>
      <c r="F225" s="13">
        <v>9.520000000000001</v>
      </c>
      <c r="K225" s="32"/>
    </row>
    <row r="226" spans="1:75" ht="13.5" customHeight="1">
      <c r="A226" s="7" t="s">
        <v>412</v>
      </c>
      <c r="B226" s="11" t="s">
        <v>658</v>
      </c>
      <c r="C226" s="135" t="s">
        <v>782</v>
      </c>
      <c r="D226" s="130"/>
      <c r="E226" s="11" t="s">
        <v>695</v>
      </c>
      <c r="F226" s="15">
        <v>7.5</v>
      </c>
      <c r="G226" s="15">
        <v>0</v>
      </c>
      <c r="H226" s="15">
        <f>F226*AO226</f>
        <v>0</v>
      </c>
      <c r="I226" s="15">
        <f>F226*AP226</f>
        <v>0</v>
      </c>
      <c r="J226" s="15">
        <f>F226*G226</f>
        <v>0</v>
      </c>
      <c r="K226" s="12" t="s">
        <v>406</v>
      </c>
      <c r="Z226" s="15">
        <f>IF(AQ226="5",BJ226,0)</f>
        <v>0</v>
      </c>
      <c r="AB226" s="15">
        <f>IF(AQ226="1",BH226,0)</f>
        <v>0</v>
      </c>
      <c r="AC226" s="15">
        <f>IF(AQ226="1",BI226,0)</f>
        <v>0</v>
      </c>
      <c r="AD226" s="15">
        <f>IF(AQ226="7",BH226,0)</f>
        <v>0</v>
      </c>
      <c r="AE226" s="15">
        <f>IF(AQ226="7",BI226,0)</f>
        <v>0</v>
      </c>
      <c r="AF226" s="15">
        <f>IF(AQ226="2",BH226,0)</f>
        <v>0</v>
      </c>
      <c r="AG226" s="15">
        <f>IF(AQ226="2",BI226,0)</f>
        <v>0</v>
      </c>
      <c r="AH226" s="15">
        <f>IF(AQ226="0",BJ226,0)</f>
        <v>0</v>
      </c>
      <c r="AI226" s="52" t="s">
        <v>566</v>
      </c>
      <c r="AJ226" s="15">
        <f>IF(AN226=0,J226,0)</f>
        <v>0</v>
      </c>
      <c r="AK226" s="15">
        <f>IF(AN226=12,J226,0)</f>
        <v>0</v>
      </c>
      <c r="AL226" s="15">
        <f>IF(AN226=21,J226,0)</f>
        <v>0</v>
      </c>
      <c r="AN226" s="15">
        <v>21</v>
      </c>
      <c r="AO226" s="15">
        <f>G226*0.43036099137931</f>
        <v>0</v>
      </c>
      <c r="AP226" s="15">
        <f>G226*(1-0.43036099137931)</f>
        <v>0</v>
      </c>
      <c r="AQ226" s="1" t="s">
        <v>831</v>
      </c>
      <c r="AV226" s="15">
        <f>AW226+AX226</f>
        <v>0</v>
      </c>
      <c r="AW226" s="15">
        <f>F226*AO226</f>
        <v>0</v>
      </c>
      <c r="AX226" s="15">
        <f>F226*AP226</f>
        <v>0</v>
      </c>
      <c r="AY226" s="1" t="s">
        <v>678</v>
      </c>
      <c r="AZ226" s="1" t="s">
        <v>912</v>
      </c>
      <c r="BA226" s="52" t="s">
        <v>870</v>
      </c>
      <c r="BC226" s="15">
        <f>AW226+AX226</f>
        <v>0</v>
      </c>
      <c r="BD226" s="15">
        <f>G226/(100-BE226)*100</f>
        <v>0</v>
      </c>
      <c r="BE226" s="15">
        <v>0</v>
      </c>
      <c r="BF226" s="15">
        <f>226</f>
        <v>226</v>
      </c>
      <c r="BH226" s="15">
        <f>F226*AO226</f>
        <v>0</v>
      </c>
      <c r="BI226" s="15">
        <f>F226*AP226</f>
        <v>0</v>
      </c>
      <c r="BJ226" s="15">
        <f>F226*G226</f>
        <v>0</v>
      </c>
      <c r="BK226" s="15"/>
      <c r="BL226" s="15">
        <v>764</v>
      </c>
      <c r="BW226" s="15">
        <v>21</v>
      </c>
    </row>
    <row r="227" spans="1:11" ht="15" customHeight="1">
      <c r="A227" s="53"/>
      <c r="C227" s="66" t="s">
        <v>514</v>
      </c>
      <c r="D227" s="18" t="s">
        <v>101</v>
      </c>
      <c r="F227" s="13">
        <v>7.500000000000001</v>
      </c>
      <c r="K227" s="32"/>
    </row>
    <row r="228" spans="1:75" ht="13.5" customHeight="1">
      <c r="A228" s="7" t="s">
        <v>118</v>
      </c>
      <c r="B228" s="11" t="s">
        <v>752</v>
      </c>
      <c r="C228" s="135" t="s">
        <v>380</v>
      </c>
      <c r="D228" s="130"/>
      <c r="E228" s="11" t="s">
        <v>695</v>
      </c>
      <c r="F228" s="15">
        <v>44.6</v>
      </c>
      <c r="G228" s="15">
        <v>0</v>
      </c>
      <c r="H228" s="15">
        <f>F228*AO228</f>
        <v>0</v>
      </c>
      <c r="I228" s="15">
        <f>F228*AP228</f>
        <v>0</v>
      </c>
      <c r="J228" s="15">
        <f>F228*G228</f>
        <v>0</v>
      </c>
      <c r="K228" s="12" t="s">
        <v>406</v>
      </c>
      <c r="Z228" s="15">
        <f>IF(AQ228="5",BJ228,0)</f>
        <v>0</v>
      </c>
      <c r="AB228" s="15">
        <f>IF(AQ228="1",BH228,0)</f>
        <v>0</v>
      </c>
      <c r="AC228" s="15">
        <f>IF(AQ228="1",BI228,0)</f>
        <v>0</v>
      </c>
      <c r="AD228" s="15">
        <f>IF(AQ228="7",BH228,0)</f>
        <v>0</v>
      </c>
      <c r="AE228" s="15">
        <f>IF(AQ228="7",BI228,0)</f>
        <v>0</v>
      </c>
      <c r="AF228" s="15">
        <f>IF(AQ228="2",BH228,0)</f>
        <v>0</v>
      </c>
      <c r="AG228" s="15">
        <f>IF(AQ228="2",BI228,0)</f>
        <v>0</v>
      </c>
      <c r="AH228" s="15">
        <f>IF(AQ228="0",BJ228,0)</f>
        <v>0</v>
      </c>
      <c r="AI228" s="52" t="s">
        <v>566</v>
      </c>
      <c r="AJ228" s="15">
        <f>IF(AN228=0,J228,0)</f>
        <v>0</v>
      </c>
      <c r="AK228" s="15">
        <f>IF(AN228=12,J228,0)</f>
        <v>0</v>
      </c>
      <c r="AL228" s="15">
        <f>IF(AN228=21,J228,0)</f>
        <v>0</v>
      </c>
      <c r="AN228" s="15">
        <v>21</v>
      </c>
      <c r="AO228" s="15">
        <f>G228*0.0276546091015169</f>
        <v>0</v>
      </c>
      <c r="AP228" s="15">
        <f>G228*(1-0.0276546091015169)</f>
        <v>0</v>
      </c>
      <c r="AQ228" s="1" t="s">
        <v>831</v>
      </c>
      <c r="AV228" s="15">
        <f>AW228+AX228</f>
        <v>0</v>
      </c>
      <c r="AW228" s="15">
        <f>F228*AO228</f>
        <v>0</v>
      </c>
      <c r="AX228" s="15">
        <f>F228*AP228</f>
        <v>0</v>
      </c>
      <c r="AY228" s="1" t="s">
        <v>678</v>
      </c>
      <c r="AZ228" s="1" t="s">
        <v>912</v>
      </c>
      <c r="BA228" s="52" t="s">
        <v>870</v>
      </c>
      <c r="BC228" s="15">
        <f>AW228+AX228</f>
        <v>0</v>
      </c>
      <c r="BD228" s="15">
        <f>G228/(100-BE228)*100</f>
        <v>0</v>
      </c>
      <c r="BE228" s="15">
        <v>0</v>
      </c>
      <c r="BF228" s="15">
        <f>228</f>
        <v>228</v>
      </c>
      <c r="BH228" s="15">
        <f>F228*AO228</f>
        <v>0</v>
      </c>
      <c r="BI228" s="15">
        <f>F228*AP228</f>
        <v>0</v>
      </c>
      <c r="BJ228" s="15">
        <f>F228*G228</f>
        <v>0</v>
      </c>
      <c r="BK228" s="15"/>
      <c r="BL228" s="15">
        <v>764</v>
      </c>
      <c r="BW228" s="15">
        <v>21</v>
      </c>
    </row>
    <row r="229" spans="1:11" ht="15" customHeight="1">
      <c r="A229" s="53"/>
      <c r="C229" s="66" t="s">
        <v>186</v>
      </c>
      <c r="D229" s="18" t="s">
        <v>354</v>
      </c>
      <c r="F229" s="13">
        <v>44.6</v>
      </c>
      <c r="K229" s="32"/>
    </row>
    <row r="230" spans="1:75" ht="27" customHeight="1">
      <c r="A230" s="73" t="s">
        <v>602</v>
      </c>
      <c r="B230" s="24" t="s">
        <v>270</v>
      </c>
      <c r="C230" s="204" t="s">
        <v>709</v>
      </c>
      <c r="D230" s="213"/>
      <c r="E230" s="24" t="s">
        <v>695</v>
      </c>
      <c r="F230" s="74">
        <v>44.6</v>
      </c>
      <c r="G230" s="74">
        <v>0</v>
      </c>
      <c r="H230" s="74">
        <f>F230*AO230</f>
        <v>0</v>
      </c>
      <c r="I230" s="74">
        <f>F230*AP230</f>
        <v>0</v>
      </c>
      <c r="J230" s="74">
        <f>F230*G230</f>
        <v>0</v>
      </c>
      <c r="K230" s="16" t="s">
        <v>577</v>
      </c>
      <c r="Z230" s="15">
        <f>IF(AQ230="5",BJ230,0)</f>
        <v>0</v>
      </c>
      <c r="AB230" s="15">
        <f>IF(AQ230="1",BH230,0)</f>
        <v>0</v>
      </c>
      <c r="AC230" s="15">
        <f>IF(AQ230="1",BI230,0)</f>
        <v>0</v>
      </c>
      <c r="AD230" s="15">
        <f>IF(AQ230="7",BH230,0)</f>
        <v>0</v>
      </c>
      <c r="AE230" s="15">
        <f>IF(AQ230="7",BI230,0)</f>
        <v>0</v>
      </c>
      <c r="AF230" s="15">
        <f>IF(AQ230="2",BH230,0)</f>
        <v>0</v>
      </c>
      <c r="AG230" s="15">
        <f>IF(AQ230="2",BI230,0)</f>
        <v>0</v>
      </c>
      <c r="AH230" s="15">
        <f>IF(AQ230="0",BJ230,0)</f>
        <v>0</v>
      </c>
      <c r="AI230" s="52" t="s">
        <v>566</v>
      </c>
      <c r="AJ230" s="74">
        <f>IF(AN230=0,J230,0)</f>
        <v>0</v>
      </c>
      <c r="AK230" s="74">
        <f>IF(AN230=12,J230,0)</f>
        <v>0</v>
      </c>
      <c r="AL230" s="74">
        <f>IF(AN230=21,J230,0)</f>
        <v>0</v>
      </c>
      <c r="AN230" s="15">
        <v>21</v>
      </c>
      <c r="AO230" s="15">
        <f>G230*1</f>
        <v>0</v>
      </c>
      <c r="AP230" s="15">
        <f>G230*(1-1)</f>
        <v>0</v>
      </c>
      <c r="AQ230" s="10" t="s">
        <v>831</v>
      </c>
      <c r="AV230" s="15">
        <f>AW230+AX230</f>
        <v>0</v>
      </c>
      <c r="AW230" s="15">
        <f>F230*AO230</f>
        <v>0</v>
      </c>
      <c r="AX230" s="15">
        <f>F230*AP230</f>
        <v>0</v>
      </c>
      <c r="AY230" s="1" t="s">
        <v>678</v>
      </c>
      <c r="AZ230" s="1" t="s">
        <v>912</v>
      </c>
      <c r="BA230" s="52" t="s">
        <v>870</v>
      </c>
      <c r="BC230" s="15">
        <f>AW230+AX230</f>
        <v>0</v>
      </c>
      <c r="BD230" s="15">
        <f>G230/(100-BE230)*100</f>
        <v>0</v>
      </c>
      <c r="BE230" s="15">
        <v>0</v>
      </c>
      <c r="BF230" s="15">
        <f>230</f>
        <v>230</v>
      </c>
      <c r="BH230" s="74">
        <f>F230*AO230</f>
        <v>0</v>
      </c>
      <c r="BI230" s="74">
        <f>F230*AP230</f>
        <v>0</v>
      </c>
      <c r="BJ230" s="74">
        <f>F230*G230</f>
        <v>0</v>
      </c>
      <c r="BK230" s="74"/>
      <c r="BL230" s="15">
        <v>764</v>
      </c>
      <c r="BW230" s="15">
        <v>21</v>
      </c>
    </row>
    <row r="231" spans="1:11" ht="15" customHeight="1">
      <c r="A231" s="53"/>
      <c r="C231" s="66" t="s">
        <v>186</v>
      </c>
      <c r="D231" s="18" t="s">
        <v>354</v>
      </c>
      <c r="F231" s="13">
        <v>44.6</v>
      </c>
      <c r="K231" s="32"/>
    </row>
    <row r="232" spans="1:75" ht="27" customHeight="1">
      <c r="A232" s="7" t="s">
        <v>922</v>
      </c>
      <c r="B232" s="11" t="s">
        <v>240</v>
      </c>
      <c r="C232" s="135" t="s">
        <v>535</v>
      </c>
      <c r="D232" s="130"/>
      <c r="E232" s="11" t="s">
        <v>695</v>
      </c>
      <c r="F232" s="15">
        <v>40.04</v>
      </c>
      <c r="G232" s="15">
        <v>0</v>
      </c>
      <c r="H232" s="15">
        <f>F232*AO232</f>
        <v>0</v>
      </c>
      <c r="I232" s="15">
        <f>F232*AP232</f>
        <v>0</v>
      </c>
      <c r="J232" s="15">
        <f>F232*G232</f>
        <v>0</v>
      </c>
      <c r="K232" s="12" t="s">
        <v>406</v>
      </c>
      <c r="Z232" s="15">
        <f>IF(AQ232="5",BJ232,0)</f>
        <v>0</v>
      </c>
      <c r="AB232" s="15">
        <f>IF(AQ232="1",BH232,0)</f>
        <v>0</v>
      </c>
      <c r="AC232" s="15">
        <f>IF(AQ232="1",BI232,0)</f>
        <v>0</v>
      </c>
      <c r="AD232" s="15">
        <f>IF(AQ232="7",BH232,0)</f>
        <v>0</v>
      </c>
      <c r="AE232" s="15">
        <f>IF(AQ232="7",BI232,0)</f>
        <v>0</v>
      </c>
      <c r="AF232" s="15">
        <f>IF(AQ232="2",BH232,0)</f>
        <v>0</v>
      </c>
      <c r="AG232" s="15">
        <f>IF(AQ232="2",BI232,0)</f>
        <v>0</v>
      </c>
      <c r="AH232" s="15">
        <f>IF(AQ232="0",BJ232,0)</f>
        <v>0</v>
      </c>
      <c r="AI232" s="52" t="s">
        <v>566</v>
      </c>
      <c r="AJ232" s="15">
        <f>IF(AN232=0,J232,0)</f>
        <v>0</v>
      </c>
      <c r="AK232" s="15">
        <f>IF(AN232=12,J232,0)</f>
        <v>0</v>
      </c>
      <c r="AL232" s="15">
        <f>IF(AN232=21,J232,0)</f>
        <v>0</v>
      </c>
      <c r="AN232" s="15">
        <v>21</v>
      </c>
      <c r="AO232" s="15">
        <f>G232*0.886652119700748</f>
        <v>0</v>
      </c>
      <c r="AP232" s="15">
        <f>G232*(1-0.886652119700748)</f>
        <v>0</v>
      </c>
      <c r="AQ232" s="1" t="s">
        <v>831</v>
      </c>
      <c r="AV232" s="15">
        <f>AW232+AX232</f>
        <v>0</v>
      </c>
      <c r="AW232" s="15">
        <f>F232*AO232</f>
        <v>0</v>
      </c>
      <c r="AX232" s="15">
        <f>F232*AP232</f>
        <v>0</v>
      </c>
      <c r="AY232" s="1" t="s">
        <v>678</v>
      </c>
      <c r="AZ232" s="1" t="s">
        <v>912</v>
      </c>
      <c r="BA232" s="52" t="s">
        <v>870</v>
      </c>
      <c r="BC232" s="15">
        <f>AW232+AX232</f>
        <v>0</v>
      </c>
      <c r="BD232" s="15">
        <f>G232/(100-BE232)*100</f>
        <v>0</v>
      </c>
      <c r="BE232" s="15">
        <v>0</v>
      </c>
      <c r="BF232" s="15">
        <f>232</f>
        <v>232</v>
      </c>
      <c r="BH232" s="15">
        <f>F232*AO232</f>
        <v>0</v>
      </c>
      <c r="BI232" s="15">
        <f>F232*AP232</f>
        <v>0</v>
      </c>
      <c r="BJ232" s="15">
        <f>F232*G232</f>
        <v>0</v>
      </c>
      <c r="BK232" s="15"/>
      <c r="BL232" s="15">
        <v>764</v>
      </c>
      <c r="BW232" s="15">
        <v>21</v>
      </c>
    </row>
    <row r="233" spans="1:11" ht="15" customHeight="1">
      <c r="A233" s="53"/>
      <c r="C233" s="66" t="s">
        <v>366</v>
      </c>
      <c r="D233" s="18" t="s">
        <v>140</v>
      </c>
      <c r="F233" s="13">
        <v>40.040000000000006</v>
      </c>
      <c r="K233" s="32"/>
    </row>
    <row r="234" spans="1:75" ht="13.5" customHeight="1">
      <c r="A234" s="7" t="s">
        <v>209</v>
      </c>
      <c r="B234" s="11" t="s">
        <v>705</v>
      </c>
      <c r="C234" s="135" t="s">
        <v>795</v>
      </c>
      <c r="D234" s="130"/>
      <c r="E234" s="11" t="s">
        <v>695</v>
      </c>
      <c r="F234" s="15">
        <v>48.6</v>
      </c>
      <c r="G234" s="15">
        <v>0</v>
      </c>
      <c r="H234" s="15">
        <f>F234*AO234</f>
        <v>0</v>
      </c>
      <c r="I234" s="15">
        <f>F234*AP234</f>
        <v>0</v>
      </c>
      <c r="J234" s="15">
        <f>F234*G234</f>
        <v>0</v>
      </c>
      <c r="K234" s="12" t="s">
        <v>406</v>
      </c>
      <c r="Z234" s="15">
        <f>IF(AQ234="5",BJ234,0)</f>
        <v>0</v>
      </c>
      <c r="AB234" s="15">
        <f>IF(AQ234="1",BH234,0)</f>
        <v>0</v>
      </c>
      <c r="AC234" s="15">
        <f>IF(AQ234="1",BI234,0)</f>
        <v>0</v>
      </c>
      <c r="AD234" s="15">
        <f>IF(AQ234="7",BH234,0)</f>
        <v>0</v>
      </c>
      <c r="AE234" s="15">
        <f>IF(AQ234="7",BI234,0)</f>
        <v>0</v>
      </c>
      <c r="AF234" s="15">
        <f>IF(AQ234="2",BH234,0)</f>
        <v>0</v>
      </c>
      <c r="AG234" s="15">
        <f>IF(AQ234="2",BI234,0)</f>
        <v>0</v>
      </c>
      <c r="AH234" s="15">
        <f>IF(AQ234="0",BJ234,0)</f>
        <v>0</v>
      </c>
      <c r="AI234" s="52" t="s">
        <v>566</v>
      </c>
      <c r="AJ234" s="15">
        <f>IF(AN234=0,J234,0)</f>
        <v>0</v>
      </c>
      <c r="AK234" s="15">
        <f>IF(AN234=12,J234,0)</f>
        <v>0</v>
      </c>
      <c r="AL234" s="15">
        <f>IF(AN234=21,J234,0)</f>
        <v>0</v>
      </c>
      <c r="AN234" s="15">
        <v>21</v>
      </c>
      <c r="AO234" s="15">
        <f>G234*0.465057471264368</f>
        <v>0</v>
      </c>
      <c r="AP234" s="15">
        <f>G234*(1-0.465057471264368)</f>
        <v>0</v>
      </c>
      <c r="AQ234" s="1" t="s">
        <v>831</v>
      </c>
      <c r="AV234" s="15">
        <f>AW234+AX234</f>
        <v>0</v>
      </c>
      <c r="AW234" s="15">
        <f>F234*AO234</f>
        <v>0</v>
      </c>
      <c r="AX234" s="15">
        <f>F234*AP234</f>
        <v>0</v>
      </c>
      <c r="AY234" s="1" t="s">
        <v>678</v>
      </c>
      <c r="AZ234" s="1" t="s">
        <v>912</v>
      </c>
      <c r="BA234" s="52" t="s">
        <v>870</v>
      </c>
      <c r="BC234" s="15">
        <f>AW234+AX234</f>
        <v>0</v>
      </c>
      <c r="BD234" s="15">
        <f>G234/(100-BE234)*100</f>
        <v>0</v>
      </c>
      <c r="BE234" s="15">
        <v>0</v>
      </c>
      <c r="BF234" s="15">
        <f>234</f>
        <v>234</v>
      </c>
      <c r="BH234" s="15">
        <f>F234*AO234</f>
        <v>0</v>
      </c>
      <c r="BI234" s="15">
        <f>F234*AP234</f>
        <v>0</v>
      </c>
      <c r="BJ234" s="15">
        <f>F234*G234</f>
        <v>0</v>
      </c>
      <c r="BK234" s="15"/>
      <c r="BL234" s="15">
        <v>764</v>
      </c>
      <c r="BW234" s="15">
        <v>21</v>
      </c>
    </row>
    <row r="235" spans="1:11" ht="15" customHeight="1">
      <c r="A235" s="53"/>
      <c r="C235" s="66" t="s">
        <v>835</v>
      </c>
      <c r="D235" s="18" t="s">
        <v>577</v>
      </c>
      <c r="F235" s="13">
        <v>38.800000000000004</v>
      </c>
      <c r="K235" s="32"/>
    </row>
    <row r="236" spans="1:11" ht="15" customHeight="1">
      <c r="A236" s="53"/>
      <c r="C236" s="66" t="s">
        <v>816</v>
      </c>
      <c r="D236" s="18" t="s">
        <v>577</v>
      </c>
      <c r="F236" s="13">
        <v>9.8</v>
      </c>
      <c r="K236" s="32"/>
    </row>
    <row r="237" spans="1:75" ht="13.5" customHeight="1">
      <c r="A237" s="7" t="s">
        <v>438</v>
      </c>
      <c r="B237" s="11" t="s">
        <v>181</v>
      </c>
      <c r="C237" s="135" t="s">
        <v>647</v>
      </c>
      <c r="D237" s="130"/>
      <c r="E237" s="11" t="s">
        <v>695</v>
      </c>
      <c r="F237" s="15">
        <v>48.6</v>
      </c>
      <c r="G237" s="15">
        <v>0</v>
      </c>
      <c r="H237" s="15">
        <f>F237*AO237</f>
        <v>0</v>
      </c>
      <c r="I237" s="15">
        <f>F237*AP237</f>
        <v>0</v>
      </c>
      <c r="J237" s="15">
        <f>F237*G237</f>
        <v>0</v>
      </c>
      <c r="K237" s="12" t="s">
        <v>406</v>
      </c>
      <c r="Z237" s="15">
        <f>IF(AQ237="5",BJ237,0)</f>
        <v>0</v>
      </c>
      <c r="AB237" s="15">
        <f>IF(AQ237="1",BH237,0)</f>
        <v>0</v>
      </c>
      <c r="AC237" s="15">
        <f>IF(AQ237="1",BI237,0)</f>
        <v>0</v>
      </c>
      <c r="AD237" s="15">
        <f>IF(AQ237="7",BH237,0)</f>
        <v>0</v>
      </c>
      <c r="AE237" s="15">
        <f>IF(AQ237="7",BI237,0)</f>
        <v>0</v>
      </c>
      <c r="AF237" s="15">
        <f>IF(AQ237="2",BH237,0)</f>
        <v>0</v>
      </c>
      <c r="AG237" s="15">
        <f>IF(AQ237="2",BI237,0)</f>
        <v>0</v>
      </c>
      <c r="AH237" s="15">
        <f>IF(AQ237="0",BJ237,0)</f>
        <v>0</v>
      </c>
      <c r="AI237" s="52" t="s">
        <v>566</v>
      </c>
      <c r="AJ237" s="15">
        <f>IF(AN237=0,J237,0)</f>
        <v>0</v>
      </c>
      <c r="AK237" s="15">
        <f>IF(AN237=12,J237,0)</f>
        <v>0</v>
      </c>
      <c r="AL237" s="15">
        <f>IF(AN237=21,J237,0)</f>
        <v>0</v>
      </c>
      <c r="AN237" s="15">
        <v>21</v>
      </c>
      <c r="AO237" s="15">
        <f>G237*0.735677083333333</f>
        <v>0</v>
      </c>
      <c r="AP237" s="15">
        <f>G237*(1-0.735677083333333)</f>
        <v>0</v>
      </c>
      <c r="AQ237" s="1" t="s">
        <v>831</v>
      </c>
      <c r="AV237" s="15">
        <f>AW237+AX237</f>
        <v>0</v>
      </c>
      <c r="AW237" s="15">
        <f>F237*AO237</f>
        <v>0</v>
      </c>
      <c r="AX237" s="15">
        <f>F237*AP237</f>
        <v>0</v>
      </c>
      <c r="AY237" s="1" t="s">
        <v>678</v>
      </c>
      <c r="AZ237" s="1" t="s">
        <v>912</v>
      </c>
      <c r="BA237" s="52" t="s">
        <v>870</v>
      </c>
      <c r="BC237" s="15">
        <f>AW237+AX237</f>
        <v>0</v>
      </c>
      <c r="BD237" s="15">
        <f>G237/(100-BE237)*100</f>
        <v>0</v>
      </c>
      <c r="BE237" s="15">
        <v>0</v>
      </c>
      <c r="BF237" s="15">
        <f>237</f>
        <v>237</v>
      </c>
      <c r="BH237" s="15">
        <f>F237*AO237</f>
        <v>0</v>
      </c>
      <c r="BI237" s="15">
        <f>F237*AP237</f>
        <v>0</v>
      </c>
      <c r="BJ237" s="15">
        <f>F237*G237</f>
        <v>0</v>
      </c>
      <c r="BK237" s="15"/>
      <c r="BL237" s="15">
        <v>764</v>
      </c>
      <c r="BW237" s="15">
        <v>21</v>
      </c>
    </row>
    <row r="238" spans="1:11" ht="15" customHeight="1">
      <c r="A238" s="53"/>
      <c r="C238" s="66" t="s">
        <v>835</v>
      </c>
      <c r="D238" s="18" t="s">
        <v>577</v>
      </c>
      <c r="F238" s="13">
        <v>38.800000000000004</v>
      </c>
      <c r="K238" s="32"/>
    </row>
    <row r="239" spans="1:11" ht="15" customHeight="1">
      <c r="A239" s="53"/>
      <c r="C239" s="66" t="s">
        <v>816</v>
      </c>
      <c r="D239" s="18" t="s">
        <v>577</v>
      </c>
      <c r="F239" s="13">
        <v>9.8</v>
      </c>
      <c r="K239" s="32"/>
    </row>
    <row r="240" spans="1:75" ht="13.5" customHeight="1">
      <c r="A240" s="7" t="s">
        <v>915</v>
      </c>
      <c r="B240" s="11" t="s">
        <v>646</v>
      </c>
      <c r="C240" s="135" t="s">
        <v>126</v>
      </c>
      <c r="D240" s="130"/>
      <c r="E240" s="11" t="s">
        <v>224</v>
      </c>
      <c r="F240" s="15">
        <v>5</v>
      </c>
      <c r="G240" s="15">
        <v>0</v>
      </c>
      <c r="H240" s="15">
        <f>F240*AO240</f>
        <v>0</v>
      </c>
      <c r="I240" s="15">
        <f>F240*AP240</f>
        <v>0</v>
      </c>
      <c r="J240" s="15">
        <f>F240*G240</f>
        <v>0</v>
      </c>
      <c r="K240" s="12" t="s">
        <v>406</v>
      </c>
      <c r="Z240" s="15">
        <f>IF(AQ240="5",BJ240,0)</f>
        <v>0</v>
      </c>
      <c r="AB240" s="15">
        <f>IF(AQ240="1",BH240,0)</f>
        <v>0</v>
      </c>
      <c r="AC240" s="15">
        <f>IF(AQ240="1",BI240,0)</f>
        <v>0</v>
      </c>
      <c r="AD240" s="15">
        <f>IF(AQ240="7",BH240,0)</f>
        <v>0</v>
      </c>
      <c r="AE240" s="15">
        <f>IF(AQ240="7",BI240,0)</f>
        <v>0</v>
      </c>
      <c r="AF240" s="15">
        <f>IF(AQ240="2",BH240,0)</f>
        <v>0</v>
      </c>
      <c r="AG240" s="15">
        <f>IF(AQ240="2",BI240,0)</f>
        <v>0</v>
      </c>
      <c r="AH240" s="15">
        <f>IF(AQ240="0",BJ240,0)</f>
        <v>0</v>
      </c>
      <c r="AI240" s="52" t="s">
        <v>566</v>
      </c>
      <c r="AJ240" s="15">
        <f>IF(AN240=0,J240,0)</f>
        <v>0</v>
      </c>
      <c r="AK240" s="15">
        <f>IF(AN240=12,J240,0)</f>
        <v>0</v>
      </c>
      <c r="AL240" s="15">
        <f>IF(AN240=21,J240,0)</f>
        <v>0</v>
      </c>
      <c r="AN240" s="15">
        <v>21</v>
      </c>
      <c r="AO240" s="15">
        <f>G240*0.127246192893401</f>
        <v>0</v>
      </c>
      <c r="AP240" s="15">
        <f>G240*(1-0.127246192893401)</f>
        <v>0</v>
      </c>
      <c r="AQ240" s="1" t="s">
        <v>831</v>
      </c>
      <c r="AV240" s="15">
        <f>AW240+AX240</f>
        <v>0</v>
      </c>
      <c r="AW240" s="15">
        <f>F240*AO240</f>
        <v>0</v>
      </c>
      <c r="AX240" s="15">
        <f>F240*AP240</f>
        <v>0</v>
      </c>
      <c r="AY240" s="1" t="s">
        <v>678</v>
      </c>
      <c r="AZ240" s="1" t="s">
        <v>912</v>
      </c>
      <c r="BA240" s="52" t="s">
        <v>870</v>
      </c>
      <c r="BC240" s="15">
        <f>AW240+AX240</f>
        <v>0</v>
      </c>
      <c r="BD240" s="15">
        <f>G240/(100-BE240)*100</f>
        <v>0</v>
      </c>
      <c r="BE240" s="15">
        <v>0</v>
      </c>
      <c r="BF240" s="15">
        <f>240</f>
        <v>240</v>
      </c>
      <c r="BH240" s="15">
        <f>F240*AO240</f>
        <v>0</v>
      </c>
      <c r="BI240" s="15">
        <f>F240*AP240</f>
        <v>0</v>
      </c>
      <c r="BJ240" s="15">
        <f>F240*G240</f>
        <v>0</v>
      </c>
      <c r="BK240" s="15"/>
      <c r="BL240" s="15">
        <v>764</v>
      </c>
      <c r="BW240" s="15">
        <v>21</v>
      </c>
    </row>
    <row r="241" spans="1:11" ht="15" customHeight="1">
      <c r="A241" s="53"/>
      <c r="C241" s="66" t="s">
        <v>461</v>
      </c>
      <c r="D241" s="18" t="s">
        <v>577</v>
      </c>
      <c r="F241" s="13">
        <v>5</v>
      </c>
      <c r="K241" s="32"/>
    </row>
    <row r="242" spans="1:75" ht="13.5" customHeight="1">
      <c r="A242" s="7" t="s">
        <v>865</v>
      </c>
      <c r="B242" s="11" t="s">
        <v>729</v>
      </c>
      <c r="C242" s="135" t="s">
        <v>263</v>
      </c>
      <c r="D242" s="130"/>
      <c r="E242" s="11" t="s">
        <v>415</v>
      </c>
      <c r="F242" s="15">
        <v>1.28</v>
      </c>
      <c r="G242" s="15">
        <v>0</v>
      </c>
      <c r="H242" s="15">
        <f>F242*AO242</f>
        <v>0</v>
      </c>
      <c r="I242" s="15">
        <f>F242*AP242</f>
        <v>0</v>
      </c>
      <c r="J242" s="15">
        <f>F242*G242</f>
        <v>0</v>
      </c>
      <c r="K242" s="12" t="s">
        <v>406</v>
      </c>
      <c r="Z242" s="15">
        <f>IF(AQ242="5",BJ242,0)</f>
        <v>0</v>
      </c>
      <c r="AB242" s="15">
        <f>IF(AQ242="1",BH242,0)</f>
        <v>0</v>
      </c>
      <c r="AC242" s="15">
        <f>IF(AQ242="1",BI242,0)</f>
        <v>0</v>
      </c>
      <c r="AD242" s="15">
        <f>IF(AQ242="7",BH242,0)</f>
        <v>0</v>
      </c>
      <c r="AE242" s="15">
        <f>IF(AQ242="7",BI242,0)</f>
        <v>0</v>
      </c>
      <c r="AF242" s="15">
        <f>IF(AQ242="2",BH242,0)</f>
        <v>0</v>
      </c>
      <c r="AG242" s="15">
        <f>IF(AQ242="2",BI242,0)</f>
        <v>0</v>
      </c>
      <c r="AH242" s="15">
        <f>IF(AQ242="0",BJ242,0)</f>
        <v>0</v>
      </c>
      <c r="AI242" s="52" t="s">
        <v>566</v>
      </c>
      <c r="AJ242" s="15">
        <f>IF(AN242=0,J242,0)</f>
        <v>0</v>
      </c>
      <c r="AK242" s="15">
        <f>IF(AN242=12,J242,0)</f>
        <v>0</v>
      </c>
      <c r="AL242" s="15">
        <f>IF(AN242=21,J242,0)</f>
        <v>0</v>
      </c>
      <c r="AN242" s="15">
        <v>21</v>
      </c>
      <c r="AO242" s="15">
        <f>G242*0</f>
        <v>0</v>
      </c>
      <c r="AP242" s="15">
        <f>G242*(1-0)</f>
        <v>0</v>
      </c>
      <c r="AQ242" s="1" t="s">
        <v>461</v>
      </c>
      <c r="AV242" s="15">
        <f>AW242+AX242</f>
        <v>0</v>
      </c>
      <c r="AW242" s="15">
        <f>F242*AO242</f>
        <v>0</v>
      </c>
      <c r="AX242" s="15">
        <f>F242*AP242</f>
        <v>0</v>
      </c>
      <c r="AY242" s="1" t="s">
        <v>678</v>
      </c>
      <c r="AZ242" s="1" t="s">
        <v>912</v>
      </c>
      <c r="BA242" s="52" t="s">
        <v>870</v>
      </c>
      <c r="BC242" s="15">
        <f>AW242+AX242</f>
        <v>0</v>
      </c>
      <c r="BD242" s="15">
        <f>G242/(100-BE242)*100</f>
        <v>0</v>
      </c>
      <c r="BE242" s="15">
        <v>0</v>
      </c>
      <c r="BF242" s="15">
        <f>242</f>
        <v>242</v>
      </c>
      <c r="BH242" s="15">
        <f>F242*AO242</f>
        <v>0</v>
      </c>
      <c r="BI242" s="15">
        <f>F242*AP242</f>
        <v>0</v>
      </c>
      <c r="BJ242" s="15">
        <f>F242*G242</f>
        <v>0</v>
      </c>
      <c r="BK242" s="15"/>
      <c r="BL242" s="15">
        <v>764</v>
      </c>
      <c r="BW242" s="15">
        <v>21</v>
      </c>
    </row>
    <row r="243" spans="1:47" ht="15" customHeight="1">
      <c r="A243" s="17" t="s">
        <v>577</v>
      </c>
      <c r="B243" s="20" t="s">
        <v>256</v>
      </c>
      <c r="C243" s="201" t="s">
        <v>720</v>
      </c>
      <c r="D243" s="210"/>
      <c r="E243" s="14" t="s">
        <v>774</v>
      </c>
      <c r="F243" s="14" t="s">
        <v>774</v>
      </c>
      <c r="G243" s="14" t="s">
        <v>774</v>
      </c>
      <c r="H243" s="68">
        <f>SUM(H244:H269)</f>
        <v>0</v>
      </c>
      <c r="I243" s="68">
        <f>SUM(I244:I269)</f>
        <v>0</v>
      </c>
      <c r="J243" s="68">
        <f>SUM(J244:J269)</f>
        <v>0</v>
      </c>
      <c r="K243" s="42" t="s">
        <v>577</v>
      </c>
      <c r="AI243" s="52" t="s">
        <v>566</v>
      </c>
      <c r="AS243" s="68">
        <f>SUM(AJ244:AJ269)</f>
        <v>0</v>
      </c>
      <c r="AT243" s="68">
        <f>SUM(AK244:AK269)</f>
        <v>0</v>
      </c>
      <c r="AU243" s="68">
        <f>SUM(AL244:AL269)</f>
        <v>0</v>
      </c>
    </row>
    <row r="244" spans="1:75" ht="13.5" customHeight="1">
      <c r="A244" s="7" t="s">
        <v>16</v>
      </c>
      <c r="B244" s="11" t="s">
        <v>472</v>
      </c>
      <c r="C244" s="135" t="s">
        <v>5</v>
      </c>
      <c r="D244" s="130"/>
      <c r="E244" s="11" t="s">
        <v>819</v>
      </c>
      <c r="F244" s="15">
        <v>166.35</v>
      </c>
      <c r="G244" s="15">
        <v>0</v>
      </c>
      <c r="H244" s="15">
        <f>F244*AO244</f>
        <v>0</v>
      </c>
      <c r="I244" s="15">
        <f>F244*AP244</f>
        <v>0</v>
      </c>
      <c r="J244" s="15">
        <f>F244*G244</f>
        <v>0</v>
      </c>
      <c r="K244" s="12" t="s">
        <v>406</v>
      </c>
      <c r="Z244" s="15">
        <f>IF(AQ244="5",BJ244,0)</f>
        <v>0</v>
      </c>
      <c r="AB244" s="15">
        <f>IF(AQ244="1",BH244,0)</f>
        <v>0</v>
      </c>
      <c r="AC244" s="15">
        <f>IF(AQ244="1",BI244,0)</f>
        <v>0</v>
      </c>
      <c r="AD244" s="15">
        <f>IF(AQ244="7",BH244,0)</f>
        <v>0</v>
      </c>
      <c r="AE244" s="15">
        <f>IF(AQ244="7",BI244,0)</f>
        <v>0</v>
      </c>
      <c r="AF244" s="15">
        <f>IF(AQ244="2",BH244,0)</f>
        <v>0</v>
      </c>
      <c r="AG244" s="15">
        <f>IF(AQ244="2",BI244,0)</f>
        <v>0</v>
      </c>
      <c r="AH244" s="15">
        <f>IF(AQ244="0",BJ244,0)</f>
        <v>0</v>
      </c>
      <c r="AI244" s="52" t="s">
        <v>566</v>
      </c>
      <c r="AJ244" s="15">
        <f>IF(AN244=0,J244,0)</f>
        <v>0</v>
      </c>
      <c r="AK244" s="15">
        <f>IF(AN244=12,J244,0)</f>
        <v>0</v>
      </c>
      <c r="AL244" s="15">
        <f>IF(AN244=21,J244,0)</f>
        <v>0</v>
      </c>
      <c r="AN244" s="15">
        <v>21</v>
      </c>
      <c r="AO244" s="15">
        <f>G244*0</f>
        <v>0</v>
      </c>
      <c r="AP244" s="15">
        <f>G244*(1-0)</f>
        <v>0</v>
      </c>
      <c r="AQ244" s="1" t="s">
        <v>831</v>
      </c>
      <c r="AV244" s="15">
        <f>AW244+AX244</f>
        <v>0</v>
      </c>
      <c r="AW244" s="15">
        <f>F244*AO244</f>
        <v>0</v>
      </c>
      <c r="AX244" s="15">
        <f>F244*AP244</f>
        <v>0</v>
      </c>
      <c r="AY244" s="1" t="s">
        <v>187</v>
      </c>
      <c r="AZ244" s="1" t="s">
        <v>912</v>
      </c>
      <c r="BA244" s="52" t="s">
        <v>870</v>
      </c>
      <c r="BC244" s="15">
        <f>AW244+AX244</f>
        <v>0</v>
      </c>
      <c r="BD244" s="15">
        <f>G244/(100-BE244)*100</f>
        <v>0</v>
      </c>
      <c r="BE244" s="15">
        <v>0</v>
      </c>
      <c r="BF244" s="15">
        <f>244</f>
        <v>244</v>
      </c>
      <c r="BH244" s="15">
        <f>F244*AO244</f>
        <v>0</v>
      </c>
      <c r="BI244" s="15">
        <f>F244*AP244</f>
        <v>0</v>
      </c>
      <c r="BJ244" s="15">
        <f>F244*G244</f>
        <v>0</v>
      </c>
      <c r="BK244" s="15"/>
      <c r="BL244" s="15">
        <v>765</v>
      </c>
      <c r="BW244" s="15">
        <v>21</v>
      </c>
    </row>
    <row r="245" spans="1:11" ht="15" customHeight="1">
      <c r="A245" s="53"/>
      <c r="C245" s="66" t="s">
        <v>197</v>
      </c>
      <c r="D245" s="18" t="s">
        <v>226</v>
      </c>
      <c r="F245" s="13">
        <v>151.15</v>
      </c>
      <c r="K245" s="32"/>
    </row>
    <row r="246" spans="1:11" ht="15" customHeight="1">
      <c r="A246" s="53"/>
      <c r="C246" s="66" t="s">
        <v>294</v>
      </c>
      <c r="D246" s="18" t="s">
        <v>718</v>
      </c>
      <c r="F246" s="13">
        <v>15.200000000000001</v>
      </c>
      <c r="K246" s="32"/>
    </row>
    <row r="247" spans="1:75" ht="13.5" customHeight="1">
      <c r="A247" s="7" t="s">
        <v>156</v>
      </c>
      <c r="B247" s="11" t="s">
        <v>383</v>
      </c>
      <c r="C247" s="135" t="s">
        <v>304</v>
      </c>
      <c r="D247" s="130"/>
      <c r="E247" s="11" t="s">
        <v>819</v>
      </c>
      <c r="F247" s="15">
        <v>166.35</v>
      </c>
      <c r="G247" s="15">
        <v>0</v>
      </c>
      <c r="H247" s="15">
        <f>F247*AO247</f>
        <v>0</v>
      </c>
      <c r="I247" s="15">
        <f>F247*AP247</f>
        <v>0</v>
      </c>
      <c r="J247" s="15">
        <f>F247*G247</f>
        <v>0</v>
      </c>
      <c r="K247" s="12" t="s">
        <v>406</v>
      </c>
      <c r="Z247" s="15">
        <f>IF(AQ247="5",BJ247,0)</f>
        <v>0</v>
      </c>
      <c r="AB247" s="15">
        <f>IF(AQ247="1",BH247,0)</f>
        <v>0</v>
      </c>
      <c r="AC247" s="15">
        <f>IF(AQ247="1",BI247,0)</f>
        <v>0</v>
      </c>
      <c r="AD247" s="15">
        <f>IF(AQ247="7",BH247,0)</f>
        <v>0</v>
      </c>
      <c r="AE247" s="15">
        <f>IF(AQ247="7",BI247,0)</f>
        <v>0</v>
      </c>
      <c r="AF247" s="15">
        <f>IF(AQ247="2",BH247,0)</f>
        <v>0</v>
      </c>
      <c r="AG247" s="15">
        <f>IF(AQ247="2",BI247,0)</f>
        <v>0</v>
      </c>
      <c r="AH247" s="15">
        <f>IF(AQ247="0",BJ247,0)</f>
        <v>0</v>
      </c>
      <c r="AI247" s="52" t="s">
        <v>566</v>
      </c>
      <c r="AJ247" s="15">
        <f>IF(AN247=0,J247,0)</f>
        <v>0</v>
      </c>
      <c r="AK247" s="15">
        <f>IF(AN247=12,J247,0)</f>
        <v>0</v>
      </c>
      <c r="AL247" s="15">
        <f>IF(AN247=21,J247,0)</f>
        <v>0</v>
      </c>
      <c r="AN247" s="15">
        <v>21</v>
      </c>
      <c r="AO247" s="15">
        <f>G247*0.0773</f>
        <v>0</v>
      </c>
      <c r="AP247" s="15">
        <f>G247*(1-0.0773)</f>
        <v>0</v>
      </c>
      <c r="AQ247" s="1" t="s">
        <v>831</v>
      </c>
      <c r="AV247" s="15">
        <f>AW247+AX247</f>
        <v>0</v>
      </c>
      <c r="AW247" s="15">
        <f>F247*AO247</f>
        <v>0</v>
      </c>
      <c r="AX247" s="15">
        <f>F247*AP247</f>
        <v>0</v>
      </c>
      <c r="AY247" s="1" t="s">
        <v>187</v>
      </c>
      <c r="AZ247" s="1" t="s">
        <v>912</v>
      </c>
      <c r="BA247" s="52" t="s">
        <v>870</v>
      </c>
      <c r="BC247" s="15">
        <f>AW247+AX247</f>
        <v>0</v>
      </c>
      <c r="BD247" s="15">
        <f>G247/(100-BE247)*100</f>
        <v>0</v>
      </c>
      <c r="BE247" s="15">
        <v>0</v>
      </c>
      <c r="BF247" s="15">
        <f>247</f>
        <v>247</v>
      </c>
      <c r="BH247" s="15">
        <f>F247*AO247</f>
        <v>0</v>
      </c>
      <c r="BI247" s="15">
        <f>F247*AP247</f>
        <v>0</v>
      </c>
      <c r="BJ247" s="15">
        <f>F247*G247</f>
        <v>0</v>
      </c>
      <c r="BK247" s="15"/>
      <c r="BL247" s="15">
        <v>765</v>
      </c>
      <c r="BW247" s="15">
        <v>21</v>
      </c>
    </row>
    <row r="248" spans="1:11" ht="15" customHeight="1">
      <c r="A248" s="53"/>
      <c r="C248" s="66" t="s">
        <v>197</v>
      </c>
      <c r="D248" s="18" t="s">
        <v>226</v>
      </c>
      <c r="F248" s="13">
        <v>151.15</v>
      </c>
      <c r="K248" s="32"/>
    </row>
    <row r="249" spans="1:11" ht="15" customHeight="1">
      <c r="A249" s="53"/>
      <c r="C249" s="66" t="s">
        <v>294</v>
      </c>
      <c r="D249" s="18" t="s">
        <v>718</v>
      </c>
      <c r="F249" s="13">
        <v>15.200000000000001</v>
      </c>
      <c r="K249" s="32"/>
    </row>
    <row r="250" spans="1:75" ht="13.5" customHeight="1">
      <c r="A250" s="73" t="s">
        <v>191</v>
      </c>
      <c r="B250" s="24" t="s">
        <v>429</v>
      </c>
      <c r="C250" s="204" t="s">
        <v>39</v>
      </c>
      <c r="D250" s="213"/>
      <c r="E250" s="24" t="s">
        <v>819</v>
      </c>
      <c r="F250" s="74">
        <v>199.62</v>
      </c>
      <c r="G250" s="74">
        <v>0</v>
      </c>
      <c r="H250" s="74">
        <f>F250*AO250</f>
        <v>0</v>
      </c>
      <c r="I250" s="74">
        <f>F250*AP250</f>
        <v>0</v>
      </c>
      <c r="J250" s="74">
        <f>F250*G250</f>
        <v>0</v>
      </c>
      <c r="K250" s="16" t="s">
        <v>577</v>
      </c>
      <c r="Z250" s="15">
        <f>IF(AQ250="5",BJ250,0)</f>
        <v>0</v>
      </c>
      <c r="AB250" s="15">
        <f>IF(AQ250="1",BH250,0)</f>
        <v>0</v>
      </c>
      <c r="AC250" s="15">
        <f>IF(AQ250="1",BI250,0)</f>
        <v>0</v>
      </c>
      <c r="AD250" s="15">
        <f>IF(AQ250="7",BH250,0)</f>
        <v>0</v>
      </c>
      <c r="AE250" s="15">
        <f>IF(AQ250="7",BI250,0)</f>
        <v>0</v>
      </c>
      <c r="AF250" s="15">
        <f>IF(AQ250="2",BH250,0)</f>
        <v>0</v>
      </c>
      <c r="AG250" s="15">
        <f>IF(AQ250="2",BI250,0)</f>
        <v>0</v>
      </c>
      <c r="AH250" s="15">
        <f>IF(AQ250="0",BJ250,0)</f>
        <v>0</v>
      </c>
      <c r="AI250" s="52" t="s">
        <v>566</v>
      </c>
      <c r="AJ250" s="74">
        <f>IF(AN250=0,J250,0)</f>
        <v>0</v>
      </c>
      <c r="AK250" s="74">
        <f>IF(AN250=12,J250,0)</f>
        <v>0</v>
      </c>
      <c r="AL250" s="74">
        <f>IF(AN250=21,J250,0)</f>
        <v>0</v>
      </c>
      <c r="AN250" s="15">
        <v>21</v>
      </c>
      <c r="AO250" s="15">
        <f>G250*1</f>
        <v>0</v>
      </c>
      <c r="AP250" s="15">
        <f>G250*(1-1)</f>
        <v>0</v>
      </c>
      <c r="AQ250" s="10" t="s">
        <v>831</v>
      </c>
      <c r="AV250" s="15">
        <f>AW250+AX250</f>
        <v>0</v>
      </c>
      <c r="AW250" s="15">
        <f>F250*AO250</f>
        <v>0</v>
      </c>
      <c r="AX250" s="15">
        <f>F250*AP250</f>
        <v>0</v>
      </c>
      <c r="AY250" s="1" t="s">
        <v>187</v>
      </c>
      <c r="AZ250" s="1" t="s">
        <v>912</v>
      </c>
      <c r="BA250" s="52" t="s">
        <v>870</v>
      </c>
      <c r="BC250" s="15">
        <f>AW250+AX250</f>
        <v>0</v>
      </c>
      <c r="BD250" s="15">
        <f>G250/(100-BE250)*100</f>
        <v>0</v>
      </c>
      <c r="BE250" s="15">
        <v>0</v>
      </c>
      <c r="BF250" s="15">
        <f>250</f>
        <v>250</v>
      </c>
      <c r="BH250" s="74">
        <f>F250*AO250</f>
        <v>0</v>
      </c>
      <c r="BI250" s="74">
        <f>F250*AP250</f>
        <v>0</v>
      </c>
      <c r="BJ250" s="74">
        <f>F250*G250</f>
        <v>0</v>
      </c>
      <c r="BK250" s="74"/>
      <c r="BL250" s="15">
        <v>765</v>
      </c>
      <c r="BW250" s="15">
        <v>21</v>
      </c>
    </row>
    <row r="251" spans="1:11" ht="15" customHeight="1">
      <c r="A251" s="53"/>
      <c r="C251" s="66" t="s">
        <v>197</v>
      </c>
      <c r="D251" s="18" t="s">
        <v>226</v>
      </c>
      <c r="F251" s="13">
        <v>151.15</v>
      </c>
      <c r="K251" s="32"/>
    </row>
    <row r="252" spans="1:11" ht="15" customHeight="1">
      <c r="A252" s="53"/>
      <c r="C252" s="66" t="s">
        <v>294</v>
      </c>
      <c r="D252" s="18" t="s">
        <v>718</v>
      </c>
      <c r="F252" s="13">
        <v>15.200000000000001</v>
      </c>
      <c r="K252" s="32"/>
    </row>
    <row r="253" spans="1:11" ht="15" customHeight="1">
      <c r="A253" s="53"/>
      <c r="C253" s="66" t="s">
        <v>697</v>
      </c>
      <c r="D253" s="18" t="s">
        <v>577</v>
      </c>
      <c r="F253" s="13">
        <v>33.27</v>
      </c>
      <c r="K253" s="32"/>
    </row>
    <row r="254" spans="1:75" ht="13.5" customHeight="1">
      <c r="A254" s="7" t="s">
        <v>660</v>
      </c>
      <c r="B254" s="11" t="s">
        <v>131</v>
      </c>
      <c r="C254" s="135" t="s">
        <v>464</v>
      </c>
      <c r="D254" s="130"/>
      <c r="E254" s="11" t="s">
        <v>819</v>
      </c>
      <c r="F254" s="15">
        <v>188.35</v>
      </c>
      <c r="G254" s="15">
        <v>0</v>
      </c>
      <c r="H254" s="15">
        <f>F254*AO254</f>
        <v>0</v>
      </c>
      <c r="I254" s="15">
        <f>F254*AP254</f>
        <v>0</v>
      </c>
      <c r="J254" s="15">
        <f>F254*G254</f>
        <v>0</v>
      </c>
      <c r="K254" s="12" t="s">
        <v>406</v>
      </c>
      <c r="Z254" s="15">
        <f>IF(AQ254="5",BJ254,0)</f>
        <v>0</v>
      </c>
      <c r="AB254" s="15">
        <f>IF(AQ254="1",BH254,0)</f>
        <v>0</v>
      </c>
      <c r="AC254" s="15">
        <f>IF(AQ254="1",BI254,0)</f>
        <v>0</v>
      </c>
      <c r="AD254" s="15">
        <f>IF(AQ254="7",BH254,0)</f>
        <v>0</v>
      </c>
      <c r="AE254" s="15">
        <f>IF(AQ254="7",BI254,0)</f>
        <v>0</v>
      </c>
      <c r="AF254" s="15">
        <f>IF(AQ254="2",BH254,0)</f>
        <v>0</v>
      </c>
      <c r="AG254" s="15">
        <f>IF(AQ254="2",BI254,0)</f>
        <v>0</v>
      </c>
      <c r="AH254" s="15">
        <f>IF(AQ254="0",BJ254,0)</f>
        <v>0</v>
      </c>
      <c r="AI254" s="52" t="s">
        <v>566</v>
      </c>
      <c r="AJ254" s="15">
        <f>IF(AN254=0,J254,0)</f>
        <v>0</v>
      </c>
      <c r="AK254" s="15">
        <f>IF(AN254=12,J254,0)</f>
        <v>0</v>
      </c>
      <c r="AL254" s="15">
        <f>IF(AN254=21,J254,0)</f>
        <v>0</v>
      </c>
      <c r="AN254" s="15">
        <v>21</v>
      </c>
      <c r="AO254" s="15">
        <f>G254*0.78011120804149</f>
        <v>0</v>
      </c>
      <c r="AP254" s="15">
        <f>G254*(1-0.78011120804149)</f>
        <v>0</v>
      </c>
      <c r="AQ254" s="1" t="s">
        <v>831</v>
      </c>
      <c r="AV254" s="15">
        <f>AW254+AX254</f>
        <v>0</v>
      </c>
      <c r="AW254" s="15">
        <f>F254*AO254</f>
        <v>0</v>
      </c>
      <c r="AX254" s="15">
        <f>F254*AP254</f>
        <v>0</v>
      </c>
      <c r="AY254" s="1" t="s">
        <v>187</v>
      </c>
      <c r="AZ254" s="1" t="s">
        <v>912</v>
      </c>
      <c r="BA254" s="52" t="s">
        <v>870</v>
      </c>
      <c r="BC254" s="15">
        <f>AW254+AX254</f>
        <v>0</v>
      </c>
      <c r="BD254" s="15">
        <f>G254/(100-BE254)*100</f>
        <v>0</v>
      </c>
      <c r="BE254" s="15">
        <v>0</v>
      </c>
      <c r="BF254" s="15">
        <f>254</f>
        <v>254</v>
      </c>
      <c r="BH254" s="15">
        <f>F254*AO254</f>
        <v>0</v>
      </c>
      <c r="BI254" s="15">
        <f>F254*AP254</f>
        <v>0</v>
      </c>
      <c r="BJ254" s="15">
        <f>F254*G254</f>
        <v>0</v>
      </c>
      <c r="BK254" s="15"/>
      <c r="BL254" s="15">
        <v>765</v>
      </c>
      <c r="BW254" s="15">
        <v>21</v>
      </c>
    </row>
    <row r="255" spans="1:11" ht="13.5" customHeight="1">
      <c r="A255" s="53"/>
      <c r="C255" s="202" t="s">
        <v>349</v>
      </c>
      <c r="D255" s="211"/>
      <c r="E255" s="211"/>
      <c r="F255" s="211"/>
      <c r="G255" s="211"/>
      <c r="H255" s="211"/>
      <c r="I255" s="211"/>
      <c r="J255" s="211"/>
      <c r="K255" s="212"/>
    </row>
    <row r="256" spans="1:11" ht="15" customHeight="1">
      <c r="A256" s="53"/>
      <c r="C256" s="66" t="s">
        <v>197</v>
      </c>
      <c r="D256" s="18" t="s">
        <v>226</v>
      </c>
      <c r="F256" s="13">
        <v>151.15</v>
      </c>
      <c r="K256" s="32"/>
    </row>
    <row r="257" spans="1:11" ht="15" customHeight="1">
      <c r="A257" s="53"/>
      <c r="C257" s="66" t="s">
        <v>294</v>
      </c>
      <c r="D257" s="18" t="s">
        <v>718</v>
      </c>
      <c r="F257" s="13">
        <v>15.200000000000001</v>
      </c>
      <c r="K257" s="32"/>
    </row>
    <row r="258" spans="1:11" ht="15" customHeight="1">
      <c r="A258" s="53"/>
      <c r="C258" s="66" t="s">
        <v>352</v>
      </c>
      <c r="D258" s="18" t="s">
        <v>42</v>
      </c>
      <c r="F258" s="13">
        <v>22.000000000000004</v>
      </c>
      <c r="K258" s="32"/>
    </row>
    <row r="259" spans="1:75" ht="13.5" customHeight="1">
      <c r="A259" s="7" t="s">
        <v>90</v>
      </c>
      <c r="B259" s="11" t="s">
        <v>937</v>
      </c>
      <c r="C259" s="135" t="s">
        <v>257</v>
      </c>
      <c r="D259" s="130"/>
      <c r="E259" s="11" t="s">
        <v>819</v>
      </c>
      <c r="F259" s="15">
        <v>354.7</v>
      </c>
      <c r="G259" s="15">
        <v>0</v>
      </c>
      <c r="H259" s="15">
        <f>F259*AO259</f>
        <v>0</v>
      </c>
      <c r="I259" s="15">
        <f>F259*AP259</f>
        <v>0</v>
      </c>
      <c r="J259" s="15">
        <f>F259*G259</f>
        <v>0</v>
      </c>
      <c r="K259" s="12" t="s">
        <v>406</v>
      </c>
      <c r="Z259" s="15">
        <f>IF(AQ259="5",BJ259,0)</f>
        <v>0</v>
      </c>
      <c r="AB259" s="15">
        <f>IF(AQ259="1",BH259,0)</f>
        <v>0</v>
      </c>
      <c r="AC259" s="15">
        <f>IF(AQ259="1",BI259,0)</f>
        <v>0</v>
      </c>
      <c r="AD259" s="15">
        <f>IF(AQ259="7",BH259,0)</f>
        <v>0</v>
      </c>
      <c r="AE259" s="15">
        <f>IF(AQ259="7",BI259,0)</f>
        <v>0</v>
      </c>
      <c r="AF259" s="15">
        <f>IF(AQ259="2",BH259,0)</f>
        <v>0</v>
      </c>
      <c r="AG259" s="15">
        <f>IF(AQ259="2",BI259,0)</f>
        <v>0</v>
      </c>
      <c r="AH259" s="15">
        <f>IF(AQ259="0",BJ259,0)</f>
        <v>0</v>
      </c>
      <c r="AI259" s="52" t="s">
        <v>566</v>
      </c>
      <c r="AJ259" s="15">
        <f>IF(AN259=0,J259,0)</f>
        <v>0</v>
      </c>
      <c r="AK259" s="15">
        <f>IF(AN259=12,J259,0)</f>
        <v>0</v>
      </c>
      <c r="AL259" s="15">
        <f>IF(AN259=21,J259,0)</f>
        <v>0</v>
      </c>
      <c r="AN259" s="15">
        <v>21</v>
      </c>
      <c r="AO259" s="15">
        <f>G259*0</f>
        <v>0</v>
      </c>
      <c r="AP259" s="15">
        <f>G259*(1-0)</f>
        <v>0</v>
      </c>
      <c r="AQ259" s="1" t="s">
        <v>831</v>
      </c>
      <c r="AV259" s="15">
        <f>AW259+AX259</f>
        <v>0</v>
      </c>
      <c r="AW259" s="15">
        <f>F259*AO259</f>
        <v>0</v>
      </c>
      <c r="AX259" s="15">
        <f>F259*AP259</f>
        <v>0</v>
      </c>
      <c r="AY259" s="1" t="s">
        <v>187</v>
      </c>
      <c r="AZ259" s="1" t="s">
        <v>912</v>
      </c>
      <c r="BA259" s="52" t="s">
        <v>870</v>
      </c>
      <c r="BC259" s="15">
        <f>AW259+AX259</f>
        <v>0</v>
      </c>
      <c r="BD259" s="15">
        <f>G259/(100-BE259)*100</f>
        <v>0</v>
      </c>
      <c r="BE259" s="15">
        <v>0</v>
      </c>
      <c r="BF259" s="15">
        <f>259</f>
        <v>259</v>
      </c>
      <c r="BH259" s="15">
        <f>F259*AO259</f>
        <v>0</v>
      </c>
      <c r="BI259" s="15">
        <f>F259*AP259</f>
        <v>0</v>
      </c>
      <c r="BJ259" s="15">
        <f>F259*G259</f>
        <v>0</v>
      </c>
      <c r="BK259" s="15"/>
      <c r="BL259" s="15">
        <v>765</v>
      </c>
      <c r="BW259" s="15">
        <v>21</v>
      </c>
    </row>
    <row r="260" spans="1:11" ht="15" customHeight="1">
      <c r="A260" s="53"/>
      <c r="C260" s="66" t="s">
        <v>577</v>
      </c>
      <c r="D260" s="18" t="s">
        <v>147</v>
      </c>
      <c r="F260" s="13">
        <v>0</v>
      </c>
      <c r="K260" s="32"/>
    </row>
    <row r="261" spans="1:11" ht="15" customHeight="1">
      <c r="A261" s="53"/>
      <c r="C261" s="66" t="s">
        <v>197</v>
      </c>
      <c r="D261" s="18" t="s">
        <v>226</v>
      </c>
      <c r="F261" s="13">
        <v>151.15</v>
      </c>
      <c r="K261" s="32"/>
    </row>
    <row r="262" spans="1:11" ht="15" customHeight="1">
      <c r="A262" s="53"/>
      <c r="C262" s="66" t="s">
        <v>294</v>
      </c>
      <c r="D262" s="18" t="s">
        <v>718</v>
      </c>
      <c r="F262" s="13">
        <v>15.200000000000001</v>
      </c>
      <c r="K262" s="32"/>
    </row>
    <row r="263" spans="1:11" ht="15" customHeight="1">
      <c r="A263" s="53"/>
      <c r="C263" s="66" t="s">
        <v>197</v>
      </c>
      <c r="D263" s="18" t="s">
        <v>226</v>
      </c>
      <c r="F263" s="13">
        <v>151.15</v>
      </c>
      <c r="K263" s="32"/>
    </row>
    <row r="264" spans="1:11" ht="15" customHeight="1">
      <c r="A264" s="53"/>
      <c r="C264" s="66" t="s">
        <v>294</v>
      </c>
      <c r="D264" s="18" t="s">
        <v>718</v>
      </c>
      <c r="F264" s="13">
        <v>15.200000000000001</v>
      </c>
      <c r="K264" s="32"/>
    </row>
    <row r="265" spans="1:11" ht="15" customHeight="1">
      <c r="A265" s="53"/>
      <c r="C265" s="66" t="s">
        <v>352</v>
      </c>
      <c r="D265" s="18" t="s">
        <v>42</v>
      </c>
      <c r="F265" s="13">
        <v>22.000000000000004</v>
      </c>
      <c r="K265" s="32"/>
    </row>
    <row r="266" spans="1:75" ht="13.5" customHeight="1">
      <c r="A266" s="7" t="s">
        <v>655</v>
      </c>
      <c r="B266" s="11" t="s">
        <v>731</v>
      </c>
      <c r="C266" s="135" t="s">
        <v>368</v>
      </c>
      <c r="D266" s="130"/>
      <c r="E266" s="11" t="s">
        <v>819</v>
      </c>
      <c r="F266" s="15">
        <v>22</v>
      </c>
      <c r="G266" s="15">
        <v>0</v>
      </c>
      <c r="H266" s="15">
        <f>F266*AO266</f>
        <v>0</v>
      </c>
      <c r="I266" s="15">
        <f>F266*AP266</f>
        <v>0</v>
      </c>
      <c r="J266" s="15">
        <f>F266*G266</f>
        <v>0</v>
      </c>
      <c r="K266" s="12" t="s">
        <v>406</v>
      </c>
      <c r="Z266" s="15">
        <f>IF(AQ266="5",BJ266,0)</f>
        <v>0</v>
      </c>
      <c r="AB266" s="15">
        <f>IF(AQ266="1",BH266,0)</f>
        <v>0</v>
      </c>
      <c r="AC266" s="15">
        <f>IF(AQ266="1",BI266,0)</f>
        <v>0</v>
      </c>
      <c r="AD266" s="15">
        <f>IF(AQ266="7",BH266,0)</f>
        <v>0</v>
      </c>
      <c r="AE266" s="15">
        <f>IF(AQ266="7",BI266,0)</f>
        <v>0</v>
      </c>
      <c r="AF266" s="15">
        <f>IF(AQ266="2",BH266,0)</f>
        <v>0</v>
      </c>
      <c r="AG266" s="15">
        <f>IF(AQ266="2",BI266,0)</f>
        <v>0</v>
      </c>
      <c r="AH266" s="15">
        <f>IF(AQ266="0",BJ266,0)</f>
        <v>0</v>
      </c>
      <c r="AI266" s="52" t="s">
        <v>566</v>
      </c>
      <c r="AJ266" s="15">
        <f>IF(AN266=0,J266,0)</f>
        <v>0</v>
      </c>
      <c r="AK266" s="15">
        <f>IF(AN266=12,J266,0)</f>
        <v>0</v>
      </c>
      <c r="AL266" s="15">
        <f>IF(AN266=21,J266,0)</f>
        <v>0</v>
      </c>
      <c r="AN266" s="15">
        <v>21</v>
      </c>
      <c r="AO266" s="15">
        <f>G266*0</f>
        <v>0</v>
      </c>
      <c r="AP266" s="15">
        <f>G266*(1-0)</f>
        <v>0</v>
      </c>
      <c r="AQ266" s="1" t="s">
        <v>831</v>
      </c>
      <c r="AV266" s="15">
        <f>AW266+AX266</f>
        <v>0</v>
      </c>
      <c r="AW266" s="15">
        <f>F266*AO266</f>
        <v>0</v>
      </c>
      <c r="AX266" s="15">
        <f>F266*AP266</f>
        <v>0</v>
      </c>
      <c r="AY266" s="1" t="s">
        <v>187</v>
      </c>
      <c r="AZ266" s="1" t="s">
        <v>912</v>
      </c>
      <c r="BA266" s="52" t="s">
        <v>870</v>
      </c>
      <c r="BC266" s="15">
        <f>AW266+AX266</f>
        <v>0</v>
      </c>
      <c r="BD266" s="15">
        <f>G266/(100-BE266)*100</f>
        <v>0</v>
      </c>
      <c r="BE266" s="15">
        <v>0</v>
      </c>
      <c r="BF266" s="15">
        <f>266</f>
        <v>266</v>
      </c>
      <c r="BH266" s="15">
        <f>F266*AO266</f>
        <v>0</v>
      </c>
      <c r="BI266" s="15">
        <f>F266*AP266</f>
        <v>0</v>
      </c>
      <c r="BJ266" s="15">
        <f>F266*G266</f>
        <v>0</v>
      </c>
      <c r="BK266" s="15"/>
      <c r="BL266" s="15">
        <v>765</v>
      </c>
      <c r="BW266" s="15">
        <v>21</v>
      </c>
    </row>
    <row r="267" spans="1:11" ht="15" customHeight="1">
      <c r="A267" s="53"/>
      <c r="C267" s="66" t="s">
        <v>577</v>
      </c>
      <c r="D267" s="18" t="s">
        <v>927</v>
      </c>
      <c r="F267" s="13">
        <v>0</v>
      </c>
      <c r="K267" s="32"/>
    </row>
    <row r="268" spans="1:11" ht="15" customHeight="1">
      <c r="A268" s="53"/>
      <c r="C268" s="66" t="s">
        <v>352</v>
      </c>
      <c r="D268" s="18" t="s">
        <v>42</v>
      </c>
      <c r="F268" s="13">
        <v>22.000000000000004</v>
      </c>
      <c r="K268" s="32"/>
    </row>
    <row r="269" spans="1:75" ht="13.5" customHeight="1">
      <c r="A269" s="7" t="s">
        <v>520</v>
      </c>
      <c r="B269" s="11" t="s">
        <v>489</v>
      </c>
      <c r="C269" s="135" t="s">
        <v>644</v>
      </c>
      <c r="D269" s="130"/>
      <c r="E269" s="11" t="s">
        <v>415</v>
      </c>
      <c r="F269" s="15">
        <v>0.15</v>
      </c>
      <c r="G269" s="15">
        <v>0</v>
      </c>
      <c r="H269" s="15">
        <f>F269*AO269</f>
        <v>0</v>
      </c>
      <c r="I269" s="15">
        <f>F269*AP269</f>
        <v>0</v>
      </c>
      <c r="J269" s="15">
        <f>F269*G269</f>
        <v>0</v>
      </c>
      <c r="K269" s="12" t="s">
        <v>406</v>
      </c>
      <c r="Z269" s="15">
        <f>IF(AQ269="5",BJ269,0)</f>
        <v>0</v>
      </c>
      <c r="AB269" s="15">
        <f>IF(AQ269="1",BH269,0)</f>
        <v>0</v>
      </c>
      <c r="AC269" s="15">
        <f>IF(AQ269="1",BI269,0)</f>
        <v>0</v>
      </c>
      <c r="AD269" s="15">
        <f>IF(AQ269="7",BH269,0)</f>
        <v>0</v>
      </c>
      <c r="AE269" s="15">
        <f>IF(AQ269="7",BI269,0)</f>
        <v>0</v>
      </c>
      <c r="AF269" s="15">
        <f>IF(AQ269="2",BH269,0)</f>
        <v>0</v>
      </c>
      <c r="AG269" s="15">
        <f>IF(AQ269="2",BI269,0)</f>
        <v>0</v>
      </c>
      <c r="AH269" s="15">
        <f>IF(AQ269="0",BJ269,0)</f>
        <v>0</v>
      </c>
      <c r="AI269" s="52" t="s">
        <v>566</v>
      </c>
      <c r="AJ269" s="15">
        <f>IF(AN269=0,J269,0)</f>
        <v>0</v>
      </c>
      <c r="AK269" s="15">
        <f>IF(AN269=12,J269,0)</f>
        <v>0</v>
      </c>
      <c r="AL269" s="15">
        <f>IF(AN269=21,J269,0)</f>
        <v>0</v>
      </c>
      <c r="AN269" s="15">
        <v>21</v>
      </c>
      <c r="AO269" s="15">
        <f>G269*0</f>
        <v>0</v>
      </c>
      <c r="AP269" s="15">
        <f>G269*(1-0)</f>
        <v>0</v>
      </c>
      <c r="AQ269" s="1" t="s">
        <v>461</v>
      </c>
      <c r="AV269" s="15">
        <f>AW269+AX269</f>
        <v>0</v>
      </c>
      <c r="AW269" s="15">
        <f>F269*AO269</f>
        <v>0</v>
      </c>
      <c r="AX269" s="15">
        <f>F269*AP269</f>
        <v>0</v>
      </c>
      <c r="AY269" s="1" t="s">
        <v>187</v>
      </c>
      <c r="AZ269" s="1" t="s">
        <v>912</v>
      </c>
      <c r="BA269" s="52" t="s">
        <v>870</v>
      </c>
      <c r="BC269" s="15">
        <f>AW269+AX269</f>
        <v>0</v>
      </c>
      <c r="BD269" s="15">
        <f>G269/(100-BE269)*100</f>
        <v>0</v>
      </c>
      <c r="BE269" s="15">
        <v>0</v>
      </c>
      <c r="BF269" s="15">
        <f>269</f>
        <v>269</v>
      </c>
      <c r="BH269" s="15">
        <f>F269*AO269</f>
        <v>0</v>
      </c>
      <c r="BI269" s="15">
        <f>F269*AP269</f>
        <v>0</v>
      </c>
      <c r="BJ269" s="15">
        <f>F269*G269</f>
        <v>0</v>
      </c>
      <c r="BK269" s="15"/>
      <c r="BL269" s="15">
        <v>765</v>
      </c>
      <c r="BW269" s="15">
        <v>21</v>
      </c>
    </row>
    <row r="270" spans="1:47" ht="15" customHeight="1">
      <c r="A270" s="17" t="s">
        <v>577</v>
      </c>
      <c r="B270" s="20" t="s">
        <v>410</v>
      </c>
      <c r="C270" s="201" t="s">
        <v>286</v>
      </c>
      <c r="D270" s="210"/>
      <c r="E270" s="14" t="s">
        <v>774</v>
      </c>
      <c r="F270" s="14" t="s">
        <v>774</v>
      </c>
      <c r="G270" s="14" t="s">
        <v>774</v>
      </c>
      <c r="H270" s="68">
        <f>SUM(H271:H277)</f>
        <v>0</v>
      </c>
      <c r="I270" s="68">
        <f>SUM(I271:I277)</f>
        <v>0</v>
      </c>
      <c r="J270" s="68">
        <f>SUM(J271:J277)</f>
        <v>0</v>
      </c>
      <c r="K270" s="42" t="s">
        <v>577</v>
      </c>
      <c r="AI270" s="52" t="s">
        <v>566</v>
      </c>
      <c r="AS270" s="68">
        <f>SUM(AJ271:AJ277)</f>
        <v>0</v>
      </c>
      <c r="AT270" s="68">
        <f>SUM(AK271:AK277)</f>
        <v>0</v>
      </c>
      <c r="AU270" s="68">
        <f>SUM(AL271:AL277)</f>
        <v>0</v>
      </c>
    </row>
    <row r="271" spans="1:75" ht="13.5" customHeight="1">
      <c r="A271" s="7" t="s">
        <v>840</v>
      </c>
      <c r="B271" s="11" t="s">
        <v>288</v>
      </c>
      <c r="C271" s="135" t="s">
        <v>555</v>
      </c>
      <c r="D271" s="130"/>
      <c r="E271" s="11" t="s">
        <v>321</v>
      </c>
      <c r="F271" s="15">
        <v>1</v>
      </c>
      <c r="G271" s="15">
        <v>0</v>
      </c>
      <c r="H271" s="15">
        <f>F271*AO271</f>
        <v>0</v>
      </c>
      <c r="I271" s="15">
        <f>F271*AP271</f>
        <v>0</v>
      </c>
      <c r="J271" s="15">
        <f>F271*G271</f>
        <v>0</v>
      </c>
      <c r="K271" s="12" t="s">
        <v>406</v>
      </c>
      <c r="Z271" s="15">
        <f>IF(AQ271="5",BJ271,0)</f>
        <v>0</v>
      </c>
      <c r="AB271" s="15">
        <f>IF(AQ271="1",BH271,0)</f>
        <v>0</v>
      </c>
      <c r="AC271" s="15">
        <f>IF(AQ271="1",BI271,0)</f>
        <v>0</v>
      </c>
      <c r="AD271" s="15">
        <f>IF(AQ271="7",BH271,0)</f>
        <v>0</v>
      </c>
      <c r="AE271" s="15">
        <f>IF(AQ271="7",BI271,0)</f>
        <v>0</v>
      </c>
      <c r="AF271" s="15">
        <f>IF(AQ271="2",BH271,0)</f>
        <v>0</v>
      </c>
      <c r="AG271" s="15">
        <f>IF(AQ271="2",BI271,0)</f>
        <v>0</v>
      </c>
      <c r="AH271" s="15">
        <f>IF(AQ271="0",BJ271,0)</f>
        <v>0</v>
      </c>
      <c r="AI271" s="52" t="s">
        <v>566</v>
      </c>
      <c r="AJ271" s="15">
        <f>IF(AN271=0,J271,0)</f>
        <v>0</v>
      </c>
      <c r="AK271" s="15">
        <f>IF(AN271=12,J271,0)</f>
        <v>0</v>
      </c>
      <c r="AL271" s="15">
        <f>IF(AN271=21,J271,0)</f>
        <v>0</v>
      </c>
      <c r="AN271" s="15">
        <v>21</v>
      </c>
      <c r="AO271" s="15">
        <f>G271*0.33378</f>
        <v>0</v>
      </c>
      <c r="AP271" s="15">
        <f>G271*(1-0.33378)</f>
        <v>0</v>
      </c>
      <c r="AQ271" s="1" t="s">
        <v>831</v>
      </c>
      <c r="AV271" s="15">
        <f>AW271+AX271</f>
        <v>0</v>
      </c>
      <c r="AW271" s="15">
        <f>F271*AO271</f>
        <v>0</v>
      </c>
      <c r="AX271" s="15">
        <f>F271*AP271</f>
        <v>0</v>
      </c>
      <c r="AY271" s="1" t="s">
        <v>264</v>
      </c>
      <c r="AZ271" s="1" t="s">
        <v>912</v>
      </c>
      <c r="BA271" s="52" t="s">
        <v>870</v>
      </c>
      <c r="BC271" s="15">
        <f>AW271+AX271</f>
        <v>0</v>
      </c>
      <c r="BD271" s="15">
        <f>G271/(100-BE271)*100</f>
        <v>0</v>
      </c>
      <c r="BE271" s="15">
        <v>0</v>
      </c>
      <c r="BF271" s="15">
        <f>271</f>
        <v>271</v>
      </c>
      <c r="BH271" s="15">
        <f>F271*AO271</f>
        <v>0</v>
      </c>
      <c r="BI271" s="15">
        <f>F271*AP271</f>
        <v>0</v>
      </c>
      <c r="BJ271" s="15">
        <f>F271*G271</f>
        <v>0</v>
      </c>
      <c r="BK271" s="15"/>
      <c r="BL271" s="15">
        <v>767</v>
      </c>
      <c r="BW271" s="15">
        <v>21</v>
      </c>
    </row>
    <row r="272" spans="1:11" ht="15" customHeight="1">
      <c r="A272" s="53"/>
      <c r="C272" s="66" t="s">
        <v>829</v>
      </c>
      <c r="D272" s="18" t="s">
        <v>21</v>
      </c>
      <c r="F272" s="13">
        <v>1</v>
      </c>
      <c r="K272" s="32"/>
    </row>
    <row r="273" spans="1:75" ht="13.5" customHeight="1">
      <c r="A273" s="7" t="s">
        <v>769</v>
      </c>
      <c r="B273" s="11" t="s">
        <v>34</v>
      </c>
      <c r="C273" s="135" t="s">
        <v>14</v>
      </c>
      <c r="D273" s="130"/>
      <c r="E273" s="11" t="s">
        <v>321</v>
      </c>
      <c r="F273" s="15">
        <v>1</v>
      </c>
      <c r="G273" s="15">
        <v>0</v>
      </c>
      <c r="H273" s="15">
        <f>F273*AO273</f>
        <v>0</v>
      </c>
      <c r="I273" s="15">
        <f>F273*AP273</f>
        <v>0</v>
      </c>
      <c r="J273" s="15">
        <f>F273*G273</f>
        <v>0</v>
      </c>
      <c r="K273" s="12" t="s">
        <v>406</v>
      </c>
      <c r="Z273" s="15">
        <f>IF(AQ273="5",BJ273,0)</f>
        <v>0</v>
      </c>
      <c r="AB273" s="15">
        <f>IF(AQ273="1",BH273,0)</f>
        <v>0</v>
      </c>
      <c r="AC273" s="15">
        <f>IF(AQ273="1",BI273,0)</f>
        <v>0</v>
      </c>
      <c r="AD273" s="15">
        <f>IF(AQ273="7",BH273,0)</f>
        <v>0</v>
      </c>
      <c r="AE273" s="15">
        <f>IF(AQ273="7",BI273,0)</f>
        <v>0</v>
      </c>
      <c r="AF273" s="15">
        <f>IF(AQ273="2",BH273,0)</f>
        <v>0</v>
      </c>
      <c r="AG273" s="15">
        <f>IF(AQ273="2",BI273,0)</f>
        <v>0</v>
      </c>
      <c r="AH273" s="15">
        <f>IF(AQ273="0",BJ273,0)</f>
        <v>0</v>
      </c>
      <c r="AI273" s="52" t="s">
        <v>566</v>
      </c>
      <c r="AJ273" s="15">
        <f>IF(AN273=0,J273,0)</f>
        <v>0</v>
      </c>
      <c r="AK273" s="15">
        <f>IF(AN273=12,J273,0)</f>
        <v>0</v>
      </c>
      <c r="AL273" s="15">
        <f>IF(AN273=21,J273,0)</f>
        <v>0</v>
      </c>
      <c r="AN273" s="15">
        <v>21</v>
      </c>
      <c r="AO273" s="15">
        <f>G273*0.33378</f>
        <v>0</v>
      </c>
      <c r="AP273" s="15">
        <f>G273*(1-0.33378)</f>
        <v>0</v>
      </c>
      <c r="AQ273" s="1" t="s">
        <v>831</v>
      </c>
      <c r="AV273" s="15">
        <f>AW273+AX273</f>
        <v>0</v>
      </c>
      <c r="AW273" s="15">
        <f>F273*AO273</f>
        <v>0</v>
      </c>
      <c r="AX273" s="15">
        <f>F273*AP273</f>
        <v>0</v>
      </c>
      <c r="AY273" s="1" t="s">
        <v>264</v>
      </c>
      <c r="AZ273" s="1" t="s">
        <v>912</v>
      </c>
      <c r="BA273" s="52" t="s">
        <v>870</v>
      </c>
      <c r="BC273" s="15">
        <f>AW273+AX273</f>
        <v>0</v>
      </c>
      <c r="BD273" s="15">
        <f>G273/(100-BE273)*100</f>
        <v>0</v>
      </c>
      <c r="BE273" s="15">
        <v>0</v>
      </c>
      <c r="BF273" s="15">
        <f>273</f>
        <v>273</v>
      </c>
      <c r="BH273" s="15">
        <f>F273*AO273</f>
        <v>0</v>
      </c>
      <c r="BI273" s="15">
        <f>F273*AP273</f>
        <v>0</v>
      </c>
      <c r="BJ273" s="15">
        <f>F273*G273</f>
        <v>0</v>
      </c>
      <c r="BK273" s="15"/>
      <c r="BL273" s="15">
        <v>767</v>
      </c>
      <c r="BW273" s="15">
        <v>21</v>
      </c>
    </row>
    <row r="274" spans="1:11" ht="15" customHeight="1">
      <c r="A274" s="53"/>
      <c r="C274" s="66" t="s">
        <v>829</v>
      </c>
      <c r="D274" s="18" t="s">
        <v>680</v>
      </c>
      <c r="F274" s="13">
        <v>1</v>
      </c>
      <c r="K274" s="32"/>
    </row>
    <row r="275" spans="1:75" ht="13.5" customHeight="1">
      <c r="A275" s="7" t="s">
        <v>564</v>
      </c>
      <c r="B275" s="11" t="s">
        <v>225</v>
      </c>
      <c r="C275" s="135" t="s">
        <v>107</v>
      </c>
      <c r="D275" s="130"/>
      <c r="E275" s="11" t="s">
        <v>321</v>
      </c>
      <c r="F275" s="15">
        <v>1</v>
      </c>
      <c r="G275" s="15">
        <v>0</v>
      </c>
      <c r="H275" s="15">
        <f>F275*AO275</f>
        <v>0</v>
      </c>
      <c r="I275" s="15">
        <f>F275*AP275</f>
        <v>0</v>
      </c>
      <c r="J275" s="15">
        <f>F275*G275</f>
        <v>0</v>
      </c>
      <c r="K275" s="12" t="s">
        <v>406</v>
      </c>
      <c r="Z275" s="15">
        <f>IF(AQ275="5",BJ275,0)</f>
        <v>0</v>
      </c>
      <c r="AB275" s="15">
        <f>IF(AQ275="1",BH275,0)</f>
        <v>0</v>
      </c>
      <c r="AC275" s="15">
        <f>IF(AQ275="1",BI275,0)</f>
        <v>0</v>
      </c>
      <c r="AD275" s="15">
        <f>IF(AQ275="7",BH275,0)</f>
        <v>0</v>
      </c>
      <c r="AE275" s="15">
        <f>IF(AQ275="7",BI275,0)</f>
        <v>0</v>
      </c>
      <c r="AF275" s="15">
        <f>IF(AQ275="2",BH275,0)</f>
        <v>0</v>
      </c>
      <c r="AG275" s="15">
        <f>IF(AQ275="2",BI275,0)</f>
        <v>0</v>
      </c>
      <c r="AH275" s="15">
        <f>IF(AQ275="0",BJ275,0)</f>
        <v>0</v>
      </c>
      <c r="AI275" s="52" t="s">
        <v>566</v>
      </c>
      <c r="AJ275" s="15">
        <f>IF(AN275=0,J275,0)</f>
        <v>0</v>
      </c>
      <c r="AK275" s="15">
        <f>IF(AN275=12,J275,0)</f>
        <v>0</v>
      </c>
      <c r="AL275" s="15">
        <f>IF(AN275=21,J275,0)</f>
        <v>0</v>
      </c>
      <c r="AN275" s="15">
        <v>21</v>
      </c>
      <c r="AO275" s="15">
        <f>G275*0.33378</f>
        <v>0</v>
      </c>
      <c r="AP275" s="15">
        <f>G275*(1-0.33378)</f>
        <v>0</v>
      </c>
      <c r="AQ275" s="1" t="s">
        <v>831</v>
      </c>
      <c r="AV275" s="15">
        <f>AW275+AX275</f>
        <v>0</v>
      </c>
      <c r="AW275" s="15">
        <f>F275*AO275</f>
        <v>0</v>
      </c>
      <c r="AX275" s="15">
        <f>F275*AP275</f>
        <v>0</v>
      </c>
      <c r="AY275" s="1" t="s">
        <v>264</v>
      </c>
      <c r="AZ275" s="1" t="s">
        <v>912</v>
      </c>
      <c r="BA275" s="52" t="s">
        <v>870</v>
      </c>
      <c r="BC275" s="15">
        <f>AW275+AX275</f>
        <v>0</v>
      </c>
      <c r="BD275" s="15">
        <f>G275/(100-BE275)*100</f>
        <v>0</v>
      </c>
      <c r="BE275" s="15">
        <v>0</v>
      </c>
      <c r="BF275" s="15">
        <f>275</f>
        <v>275</v>
      </c>
      <c r="BH275" s="15">
        <f>F275*AO275</f>
        <v>0</v>
      </c>
      <c r="BI275" s="15">
        <f>F275*AP275</f>
        <v>0</v>
      </c>
      <c r="BJ275" s="15">
        <f>F275*G275</f>
        <v>0</v>
      </c>
      <c r="BK275" s="15"/>
      <c r="BL275" s="15">
        <v>767</v>
      </c>
      <c r="BW275" s="15">
        <v>21</v>
      </c>
    </row>
    <row r="276" spans="1:11" ht="15" customHeight="1">
      <c r="A276" s="53"/>
      <c r="C276" s="66" t="s">
        <v>829</v>
      </c>
      <c r="D276" s="18" t="s">
        <v>446</v>
      </c>
      <c r="F276" s="13">
        <v>1</v>
      </c>
      <c r="K276" s="32"/>
    </row>
    <row r="277" spans="1:75" ht="13.5" customHeight="1">
      <c r="A277" s="7" t="s">
        <v>450</v>
      </c>
      <c r="B277" s="11" t="s">
        <v>898</v>
      </c>
      <c r="C277" s="135" t="s">
        <v>319</v>
      </c>
      <c r="D277" s="130"/>
      <c r="E277" s="11" t="s">
        <v>321</v>
      </c>
      <c r="F277" s="15">
        <v>2</v>
      </c>
      <c r="G277" s="15">
        <v>0</v>
      </c>
      <c r="H277" s="15">
        <f>F277*AO277</f>
        <v>0</v>
      </c>
      <c r="I277" s="15">
        <f>F277*AP277</f>
        <v>0</v>
      </c>
      <c r="J277" s="15">
        <f>F277*G277</f>
        <v>0</v>
      </c>
      <c r="K277" s="12" t="s">
        <v>406</v>
      </c>
      <c r="Z277" s="15">
        <f>IF(AQ277="5",BJ277,0)</f>
        <v>0</v>
      </c>
      <c r="AB277" s="15">
        <f>IF(AQ277="1",BH277,0)</f>
        <v>0</v>
      </c>
      <c r="AC277" s="15">
        <f>IF(AQ277="1",BI277,0)</f>
        <v>0</v>
      </c>
      <c r="AD277" s="15">
        <f>IF(AQ277="7",BH277,0)</f>
        <v>0</v>
      </c>
      <c r="AE277" s="15">
        <f>IF(AQ277="7",BI277,0)</f>
        <v>0</v>
      </c>
      <c r="AF277" s="15">
        <f>IF(AQ277="2",BH277,0)</f>
        <v>0</v>
      </c>
      <c r="AG277" s="15">
        <f>IF(AQ277="2",BI277,0)</f>
        <v>0</v>
      </c>
      <c r="AH277" s="15">
        <f>IF(AQ277="0",BJ277,0)</f>
        <v>0</v>
      </c>
      <c r="AI277" s="52" t="s">
        <v>566</v>
      </c>
      <c r="AJ277" s="15">
        <f>IF(AN277=0,J277,0)</f>
        <v>0</v>
      </c>
      <c r="AK277" s="15">
        <f>IF(AN277=12,J277,0)</f>
        <v>0</v>
      </c>
      <c r="AL277" s="15">
        <f>IF(AN277=21,J277,0)</f>
        <v>0</v>
      </c>
      <c r="AN277" s="15">
        <v>21</v>
      </c>
      <c r="AO277" s="15">
        <f>G277*0.18212</f>
        <v>0</v>
      </c>
      <c r="AP277" s="15">
        <f>G277*(1-0.18212)</f>
        <v>0</v>
      </c>
      <c r="AQ277" s="1" t="s">
        <v>831</v>
      </c>
      <c r="AV277" s="15">
        <f>AW277+AX277</f>
        <v>0</v>
      </c>
      <c r="AW277" s="15">
        <f>F277*AO277</f>
        <v>0</v>
      </c>
      <c r="AX277" s="15">
        <f>F277*AP277</f>
        <v>0</v>
      </c>
      <c r="AY277" s="1" t="s">
        <v>264</v>
      </c>
      <c r="AZ277" s="1" t="s">
        <v>912</v>
      </c>
      <c r="BA277" s="52" t="s">
        <v>870</v>
      </c>
      <c r="BC277" s="15">
        <f>AW277+AX277</f>
        <v>0</v>
      </c>
      <c r="BD277" s="15">
        <f>G277/(100-BE277)*100</f>
        <v>0</v>
      </c>
      <c r="BE277" s="15">
        <v>0</v>
      </c>
      <c r="BF277" s="15">
        <f>277</f>
        <v>277</v>
      </c>
      <c r="BH277" s="15">
        <f>F277*AO277</f>
        <v>0</v>
      </c>
      <c r="BI277" s="15">
        <f>F277*AP277</f>
        <v>0</v>
      </c>
      <c r="BJ277" s="15">
        <f>F277*G277</f>
        <v>0</v>
      </c>
      <c r="BK277" s="15"/>
      <c r="BL277" s="15">
        <v>767</v>
      </c>
      <c r="BW277" s="15">
        <v>21</v>
      </c>
    </row>
    <row r="278" spans="1:11" ht="15" customHeight="1">
      <c r="A278" s="53"/>
      <c r="C278" s="66" t="s">
        <v>574</v>
      </c>
      <c r="D278" s="18" t="s">
        <v>129</v>
      </c>
      <c r="F278" s="13">
        <v>2</v>
      </c>
      <c r="K278" s="32"/>
    </row>
    <row r="279" spans="1:47" ht="15" customHeight="1">
      <c r="A279" s="17" t="s">
        <v>577</v>
      </c>
      <c r="B279" s="20" t="s">
        <v>487</v>
      </c>
      <c r="C279" s="201" t="s">
        <v>672</v>
      </c>
      <c r="D279" s="210"/>
      <c r="E279" s="14" t="s">
        <v>774</v>
      </c>
      <c r="F279" s="14" t="s">
        <v>774</v>
      </c>
      <c r="G279" s="14" t="s">
        <v>774</v>
      </c>
      <c r="H279" s="68">
        <f>SUM(H280:H282)</f>
        <v>0</v>
      </c>
      <c r="I279" s="68">
        <f>SUM(I280:I282)</f>
        <v>0</v>
      </c>
      <c r="J279" s="68">
        <f>SUM(J280:J282)</f>
        <v>0</v>
      </c>
      <c r="K279" s="42" t="s">
        <v>577</v>
      </c>
      <c r="AI279" s="52" t="s">
        <v>566</v>
      </c>
      <c r="AS279" s="68">
        <f>SUM(AJ280:AJ282)</f>
        <v>0</v>
      </c>
      <c r="AT279" s="68">
        <f>SUM(AK280:AK282)</f>
        <v>0</v>
      </c>
      <c r="AU279" s="68">
        <f>SUM(AL280:AL282)</f>
        <v>0</v>
      </c>
    </row>
    <row r="280" spans="1:75" ht="13.5" customHeight="1">
      <c r="A280" s="7" t="s">
        <v>204</v>
      </c>
      <c r="B280" s="11" t="s">
        <v>473</v>
      </c>
      <c r="C280" s="135" t="s">
        <v>733</v>
      </c>
      <c r="D280" s="130"/>
      <c r="E280" s="11" t="s">
        <v>819</v>
      </c>
      <c r="F280" s="15">
        <v>7.92</v>
      </c>
      <c r="G280" s="15">
        <v>0</v>
      </c>
      <c r="H280" s="15">
        <f>F280*AO280</f>
        <v>0</v>
      </c>
      <c r="I280" s="15">
        <f>F280*AP280</f>
        <v>0</v>
      </c>
      <c r="J280" s="15">
        <f>F280*G280</f>
        <v>0</v>
      </c>
      <c r="K280" s="12" t="s">
        <v>406</v>
      </c>
      <c r="Z280" s="15">
        <f>IF(AQ280="5",BJ280,0)</f>
        <v>0</v>
      </c>
      <c r="AB280" s="15">
        <f>IF(AQ280="1",BH280,0)</f>
        <v>0</v>
      </c>
      <c r="AC280" s="15">
        <f>IF(AQ280="1",BI280,0)</f>
        <v>0</v>
      </c>
      <c r="AD280" s="15">
        <f>IF(AQ280="7",BH280,0)</f>
        <v>0</v>
      </c>
      <c r="AE280" s="15">
        <f>IF(AQ280="7",BI280,0)</f>
        <v>0</v>
      </c>
      <c r="AF280" s="15">
        <f>IF(AQ280="2",BH280,0)</f>
        <v>0</v>
      </c>
      <c r="AG280" s="15">
        <f>IF(AQ280="2",BI280,0)</f>
        <v>0</v>
      </c>
      <c r="AH280" s="15">
        <f>IF(AQ280="0",BJ280,0)</f>
        <v>0</v>
      </c>
      <c r="AI280" s="52" t="s">
        <v>566</v>
      </c>
      <c r="AJ280" s="15">
        <f>IF(AN280=0,J280,0)</f>
        <v>0</v>
      </c>
      <c r="AK280" s="15">
        <f>IF(AN280=12,J280,0)</f>
        <v>0</v>
      </c>
      <c r="AL280" s="15">
        <f>IF(AN280=21,J280,0)</f>
        <v>0</v>
      </c>
      <c r="AN280" s="15">
        <v>21</v>
      </c>
      <c r="AO280" s="15">
        <f>G280*0.177840909090909</f>
        <v>0</v>
      </c>
      <c r="AP280" s="15">
        <f>G280*(1-0.177840909090909)</f>
        <v>0</v>
      </c>
      <c r="AQ280" s="1" t="s">
        <v>831</v>
      </c>
      <c r="AV280" s="15">
        <f>AW280+AX280</f>
        <v>0</v>
      </c>
      <c r="AW280" s="15">
        <f>F280*AO280</f>
        <v>0</v>
      </c>
      <c r="AX280" s="15">
        <f>F280*AP280</f>
        <v>0</v>
      </c>
      <c r="AY280" s="1" t="s">
        <v>213</v>
      </c>
      <c r="AZ280" s="1" t="s">
        <v>404</v>
      </c>
      <c r="BA280" s="52" t="s">
        <v>870</v>
      </c>
      <c r="BC280" s="15">
        <f>AW280+AX280</f>
        <v>0</v>
      </c>
      <c r="BD280" s="15">
        <f>G280/(100-BE280)*100</f>
        <v>0</v>
      </c>
      <c r="BE280" s="15">
        <v>0</v>
      </c>
      <c r="BF280" s="15">
        <f>280</f>
        <v>280</v>
      </c>
      <c r="BH280" s="15">
        <f>F280*AO280</f>
        <v>0</v>
      </c>
      <c r="BI280" s="15">
        <f>F280*AP280</f>
        <v>0</v>
      </c>
      <c r="BJ280" s="15">
        <f>F280*G280</f>
        <v>0</v>
      </c>
      <c r="BK280" s="15"/>
      <c r="BL280" s="15">
        <v>783</v>
      </c>
      <c r="BW280" s="15">
        <v>21</v>
      </c>
    </row>
    <row r="281" spans="1:11" ht="15" customHeight="1">
      <c r="A281" s="53"/>
      <c r="C281" s="66" t="s">
        <v>347</v>
      </c>
      <c r="D281" s="18" t="s">
        <v>31</v>
      </c>
      <c r="F281" s="13">
        <v>7.920000000000001</v>
      </c>
      <c r="K281" s="32"/>
    </row>
    <row r="282" spans="1:75" ht="13.5" customHeight="1">
      <c r="A282" s="7" t="s">
        <v>86</v>
      </c>
      <c r="B282" s="11" t="s">
        <v>203</v>
      </c>
      <c r="C282" s="135" t="s">
        <v>37</v>
      </c>
      <c r="D282" s="130"/>
      <c r="E282" s="11" t="s">
        <v>819</v>
      </c>
      <c r="F282" s="15">
        <v>7.92</v>
      </c>
      <c r="G282" s="15">
        <v>0</v>
      </c>
      <c r="H282" s="15">
        <f>F282*AO282</f>
        <v>0</v>
      </c>
      <c r="I282" s="15">
        <f>F282*AP282</f>
        <v>0</v>
      </c>
      <c r="J282" s="15">
        <f>F282*G282</f>
        <v>0</v>
      </c>
      <c r="K282" s="12" t="s">
        <v>406</v>
      </c>
      <c r="Z282" s="15">
        <f>IF(AQ282="5",BJ282,0)</f>
        <v>0</v>
      </c>
      <c r="AB282" s="15">
        <f>IF(AQ282="1",BH282,0)</f>
        <v>0</v>
      </c>
      <c r="AC282" s="15">
        <f>IF(AQ282="1",BI282,0)</f>
        <v>0</v>
      </c>
      <c r="AD282" s="15">
        <f>IF(AQ282="7",BH282,0)</f>
        <v>0</v>
      </c>
      <c r="AE282" s="15">
        <f>IF(AQ282="7",BI282,0)</f>
        <v>0</v>
      </c>
      <c r="AF282" s="15">
        <f>IF(AQ282="2",BH282,0)</f>
        <v>0</v>
      </c>
      <c r="AG282" s="15">
        <f>IF(AQ282="2",BI282,0)</f>
        <v>0</v>
      </c>
      <c r="AH282" s="15">
        <f>IF(AQ282="0",BJ282,0)</f>
        <v>0</v>
      </c>
      <c r="AI282" s="52" t="s">
        <v>566</v>
      </c>
      <c r="AJ282" s="15">
        <f>IF(AN282=0,J282,0)</f>
        <v>0</v>
      </c>
      <c r="AK282" s="15">
        <f>IF(AN282=12,J282,0)</f>
        <v>0</v>
      </c>
      <c r="AL282" s="15">
        <f>IF(AN282=21,J282,0)</f>
        <v>0</v>
      </c>
      <c r="AN282" s="15">
        <v>21</v>
      </c>
      <c r="AO282" s="15">
        <f>G282*0.0794251421351864</f>
        <v>0</v>
      </c>
      <c r="AP282" s="15">
        <f>G282*(1-0.0794251421351864)</f>
        <v>0</v>
      </c>
      <c r="AQ282" s="1" t="s">
        <v>831</v>
      </c>
      <c r="AV282" s="15">
        <f>AW282+AX282</f>
        <v>0</v>
      </c>
      <c r="AW282" s="15">
        <f>F282*AO282</f>
        <v>0</v>
      </c>
      <c r="AX282" s="15">
        <f>F282*AP282</f>
        <v>0</v>
      </c>
      <c r="AY282" s="1" t="s">
        <v>213</v>
      </c>
      <c r="AZ282" s="1" t="s">
        <v>404</v>
      </c>
      <c r="BA282" s="52" t="s">
        <v>870</v>
      </c>
      <c r="BC282" s="15">
        <f>AW282+AX282</f>
        <v>0</v>
      </c>
      <c r="BD282" s="15">
        <f>G282/(100-BE282)*100</f>
        <v>0</v>
      </c>
      <c r="BE282" s="15">
        <v>0</v>
      </c>
      <c r="BF282" s="15">
        <f>282</f>
        <v>282</v>
      </c>
      <c r="BH282" s="15">
        <f>F282*AO282</f>
        <v>0</v>
      </c>
      <c r="BI282" s="15">
        <f>F282*AP282</f>
        <v>0</v>
      </c>
      <c r="BJ282" s="15">
        <f>F282*G282</f>
        <v>0</v>
      </c>
      <c r="BK282" s="15"/>
      <c r="BL282" s="15">
        <v>783</v>
      </c>
      <c r="BW282" s="15">
        <v>21</v>
      </c>
    </row>
    <row r="283" spans="1:11" ht="15" customHeight="1">
      <c r="A283" s="53"/>
      <c r="C283" s="66" t="s">
        <v>347</v>
      </c>
      <c r="D283" s="18" t="s">
        <v>31</v>
      </c>
      <c r="F283" s="13">
        <v>7.920000000000001</v>
      </c>
      <c r="K283" s="32"/>
    </row>
    <row r="284" spans="1:47" ht="15" customHeight="1">
      <c r="A284" s="17" t="s">
        <v>577</v>
      </c>
      <c r="B284" s="20" t="s">
        <v>477</v>
      </c>
      <c r="C284" s="201" t="s">
        <v>24</v>
      </c>
      <c r="D284" s="210"/>
      <c r="E284" s="14" t="s">
        <v>774</v>
      </c>
      <c r="F284" s="14" t="s">
        <v>774</v>
      </c>
      <c r="G284" s="14" t="s">
        <v>774</v>
      </c>
      <c r="H284" s="68">
        <f>SUM(H285:H290)</f>
        <v>0</v>
      </c>
      <c r="I284" s="68">
        <f>SUM(I285:I290)</f>
        <v>0</v>
      </c>
      <c r="J284" s="68">
        <f>SUM(J285:J290)</f>
        <v>0</v>
      </c>
      <c r="K284" s="42" t="s">
        <v>577</v>
      </c>
      <c r="AI284" s="52" t="s">
        <v>566</v>
      </c>
      <c r="AS284" s="68">
        <f>SUM(AJ285:AJ290)</f>
        <v>0</v>
      </c>
      <c r="AT284" s="68">
        <f>SUM(AK285:AK290)</f>
        <v>0</v>
      </c>
      <c r="AU284" s="68">
        <f>SUM(AL285:AL290)</f>
        <v>0</v>
      </c>
    </row>
    <row r="285" spans="1:75" ht="13.5" customHeight="1">
      <c r="A285" s="7" t="s">
        <v>818</v>
      </c>
      <c r="B285" s="11" t="s">
        <v>43</v>
      </c>
      <c r="C285" s="135" t="s">
        <v>525</v>
      </c>
      <c r="D285" s="130"/>
      <c r="E285" s="11" t="s">
        <v>819</v>
      </c>
      <c r="F285" s="15">
        <v>37.77</v>
      </c>
      <c r="G285" s="15">
        <v>0</v>
      </c>
      <c r="H285" s="15">
        <f>F285*AO285</f>
        <v>0</v>
      </c>
      <c r="I285" s="15">
        <f>F285*AP285</f>
        <v>0</v>
      </c>
      <c r="J285" s="15">
        <f>F285*G285</f>
        <v>0</v>
      </c>
      <c r="K285" s="12" t="s">
        <v>406</v>
      </c>
      <c r="Z285" s="15">
        <f>IF(AQ285="5",BJ285,0)</f>
        <v>0</v>
      </c>
      <c r="AB285" s="15">
        <f>IF(AQ285="1",BH285,0)</f>
        <v>0</v>
      </c>
      <c r="AC285" s="15">
        <f>IF(AQ285="1",BI285,0)</f>
        <v>0</v>
      </c>
      <c r="AD285" s="15">
        <f>IF(AQ285="7",BH285,0)</f>
        <v>0</v>
      </c>
      <c r="AE285" s="15">
        <f>IF(AQ285="7",BI285,0)</f>
        <v>0</v>
      </c>
      <c r="AF285" s="15">
        <f>IF(AQ285="2",BH285,0)</f>
        <v>0</v>
      </c>
      <c r="AG285" s="15">
        <f>IF(AQ285="2",BI285,0)</f>
        <v>0</v>
      </c>
      <c r="AH285" s="15">
        <f>IF(AQ285="0",BJ285,0)</f>
        <v>0</v>
      </c>
      <c r="AI285" s="52" t="s">
        <v>566</v>
      </c>
      <c r="AJ285" s="15">
        <f>IF(AN285=0,J285,0)</f>
        <v>0</v>
      </c>
      <c r="AK285" s="15">
        <f>IF(AN285=12,J285,0)</f>
        <v>0</v>
      </c>
      <c r="AL285" s="15">
        <f>IF(AN285=21,J285,0)</f>
        <v>0</v>
      </c>
      <c r="AN285" s="15">
        <v>21</v>
      </c>
      <c r="AO285" s="15">
        <f>G285*0.248586147467279</f>
        <v>0</v>
      </c>
      <c r="AP285" s="15">
        <f>G285*(1-0.248586147467279)</f>
        <v>0</v>
      </c>
      <c r="AQ285" s="1" t="s">
        <v>831</v>
      </c>
      <c r="AV285" s="15">
        <f>AW285+AX285</f>
        <v>0</v>
      </c>
      <c r="AW285" s="15">
        <f>F285*AO285</f>
        <v>0</v>
      </c>
      <c r="AX285" s="15">
        <f>F285*AP285</f>
        <v>0</v>
      </c>
      <c r="AY285" s="1" t="s">
        <v>739</v>
      </c>
      <c r="AZ285" s="1" t="s">
        <v>404</v>
      </c>
      <c r="BA285" s="52" t="s">
        <v>870</v>
      </c>
      <c r="BC285" s="15">
        <f>AW285+AX285</f>
        <v>0</v>
      </c>
      <c r="BD285" s="15">
        <f>G285/(100-BE285)*100</f>
        <v>0</v>
      </c>
      <c r="BE285" s="15">
        <v>0</v>
      </c>
      <c r="BF285" s="15">
        <f>285</f>
        <v>285</v>
      </c>
      <c r="BH285" s="15">
        <f>F285*AO285</f>
        <v>0</v>
      </c>
      <c r="BI285" s="15">
        <f>F285*AP285</f>
        <v>0</v>
      </c>
      <c r="BJ285" s="15">
        <f>F285*G285</f>
        <v>0</v>
      </c>
      <c r="BK285" s="15"/>
      <c r="BL285" s="15">
        <v>784</v>
      </c>
      <c r="BW285" s="15">
        <v>21</v>
      </c>
    </row>
    <row r="286" spans="1:11" ht="13.5" customHeight="1">
      <c r="A286" s="53"/>
      <c r="C286" s="202" t="s">
        <v>255</v>
      </c>
      <c r="D286" s="211"/>
      <c r="E286" s="211"/>
      <c r="F286" s="211"/>
      <c r="G286" s="211"/>
      <c r="H286" s="211"/>
      <c r="I286" s="211"/>
      <c r="J286" s="211"/>
      <c r="K286" s="212"/>
    </row>
    <row r="287" spans="1:11" ht="15" customHeight="1">
      <c r="A287" s="53"/>
      <c r="C287" s="66" t="s">
        <v>863</v>
      </c>
      <c r="D287" s="18" t="s">
        <v>771</v>
      </c>
      <c r="F287" s="13">
        <v>37.77</v>
      </c>
      <c r="K287" s="32"/>
    </row>
    <row r="288" spans="1:75" ht="13.5" customHeight="1">
      <c r="A288" s="7" t="s">
        <v>158</v>
      </c>
      <c r="B288" s="11" t="s">
        <v>311</v>
      </c>
      <c r="C288" s="135" t="s">
        <v>797</v>
      </c>
      <c r="D288" s="130"/>
      <c r="E288" s="11" t="s">
        <v>819</v>
      </c>
      <c r="F288" s="15">
        <v>37.77</v>
      </c>
      <c r="G288" s="15">
        <v>0</v>
      </c>
      <c r="H288" s="15">
        <f>F288*AO288</f>
        <v>0</v>
      </c>
      <c r="I288" s="15">
        <f>F288*AP288</f>
        <v>0</v>
      </c>
      <c r="J288" s="15">
        <f>F288*G288</f>
        <v>0</v>
      </c>
      <c r="K288" s="12" t="s">
        <v>406</v>
      </c>
      <c r="Z288" s="15">
        <f>IF(AQ288="5",BJ288,0)</f>
        <v>0</v>
      </c>
      <c r="AB288" s="15">
        <f>IF(AQ288="1",BH288,0)</f>
        <v>0</v>
      </c>
      <c r="AC288" s="15">
        <f>IF(AQ288="1",BI288,0)</f>
        <v>0</v>
      </c>
      <c r="AD288" s="15">
        <f>IF(AQ288="7",BH288,0)</f>
        <v>0</v>
      </c>
      <c r="AE288" s="15">
        <f>IF(AQ288="7",BI288,0)</f>
        <v>0</v>
      </c>
      <c r="AF288" s="15">
        <f>IF(AQ288="2",BH288,0)</f>
        <v>0</v>
      </c>
      <c r="AG288" s="15">
        <f>IF(AQ288="2",BI288,0)</f>
        <v>0</v>
      </c>
      <c r="AH288" s="15">
        <f>IF(AQ288="0",BJ288,0)</f>
        <v>0</v>
      </c>
      <c r="AI288" s="52" t="s">
        <v>566</v>
      </c>
      <c r="AJ288" s="15">
        <f>IF(AN288=0,J288,0)</f>
        <v>0</v>
      </c>
      <c r="AK288" s="15">
        <f>IF(AN288=12,J288,0)</f>
        <v>0</v>
      </c>
      <c r="AL288" s="15">
        <f>IF(AN288=21,J288,0)</f>
        <v>0</v>
      </c>
      <c r="AN288" s="15">
        <v>21</v>
      </c>
      <c r="AO288" s="15">
        <f>G288*0</f>
        <v>0</v>
      </c>
      <c r="AP288" s="15">
        <f>G288*(1-0)</f>
        <v>0</v>
      </c>
      <c r="AQ288" s="1" t="s">
        <v>831</v>
      </c>
      <c r="AV288" s="15">
        <f>AW288+AX288</f>
        <v>0</v>
      </c>
      <c r="AW288" s="15">
        <f>F288*AO288</f>
        <v>0</v>
      </c>
      <c r="AX288" s="15">
        <f>F288*AP288</f>
        <v>0</v>
      </c>
      <c r="AY288" s="1" t="s">
        <v>739</v>
      </c>
      <c r="AZ288" s="1" t="s">
        <v>404</v>
      </c>
      <c r="BA288" s="52" t="s">
        <v>870</v>
      </c>
      <c r="BC288" s="15">
        <f>AW288+AX288</f>
        <v>0</v>
      </c>
      <c r="BD288" s="15">
        <f>G288/(100-BE288)*100</f>
        <v>0</v>
      </c>
      <c r="BE288" s="15">
        <v>0</v>
      </c>
      <c r="BF288" s="15">
        <f>288</f>
        <v>288</v>
      </c>
      <c r="BH288" s="15">
        <f>F288*AO288</f>
        <v>0</v>
      </c>
      <c r="BI288" s="15">
        <f>F288*AP288</f>
        <v>0</v>
      </c>
      <c r="BJ288" s="15">
        <f>F288*G288</f>
        <v>0</v>
      </c>
      <c r="BK288" s="15"/>
      <c r="BL288" s="15">
        <v>784</v>
      </c>
      <c r="BW288" s="15">
        <v>21</v>
      </c>
    </row>
    <row r="289" spans="1:11" ht="15" customHeight="1">
      <c r="A289" s="53"/>
      <c r="C289" s="66" t="s">
        <v>863</v>
      </c>
      <c r="D289" s="18" t="s">
        <v>444</v>
      </c>
      <c r="F289" s="13">
        <v>37.77</v>
      </c>
      <c r="K289" s="32"/>
    </row>
    <row r="290" spans="1:75" ht="13.5" customHeight="1">
      <c r="A290" s="73" t="s">
        <v>170</v>
      </c>
      <c r="B290" s="24" t="s">
        <v>750</v>
      </c>
      <c r="C290" s="204" t="s">
        <v>9</v>
      </c>
      <c r="D290" s="213"/>
      <c r="E290" s="24" t="s">
        <v>807</v>
      </c>
      <c r="F290" s="74">
        <v>1.33</v>
      </c>
      <c r="G290" s="74">
        <v>0</v>
      </c>
      <c r="H290" s="74">
        <f>F290*AO290</f>
        <v>0</v>
      </c>
      <c r="I290" s="74">
        <f>F290*AP290</f>
        <v>0</v>
      </c>
      <c r="J290" s="74">
        <f>F290*G290</f>
        <v>0</v>
      </c>
      <c r="K290" s="16" t="s">
        <v>406</v>
      </c>
      <c r="Z290" s="15">
        <f>IF(AQ290="5",BJ290,0)</f>
        <v>0</v>
      </c>
      <c r="AB290" s="15">
        <f>IF(AQ290="1",BH290,0)</f>
        <v>0</v>
      </c>
      <c r="AC290" s="15">
        <f>IF(AQ290="1",BI290,0)</f>
        <v>0</v>
      </c>
      <c r="AD290" s="15">
        <f>IF(AQ290="7",BH290,0)</f>
        <v>0</v>
      </c>
      <c r="AE290" s="15">
        <f>IF(AQ290="7",BI290,0)</f>
        <v>0</v>
      </c>
      <c r="AF290" s="15">
        <f>IF(AQ290="2",BH290,0)</f>
        <v>0</v>
      </c>
      <c r="AG290" s="15">
        <f>IF(AQ290="2",BI290,0)</f>
        <v>0</v>
      </c>
      <c r="AH290" s="15">
        <f>IF(AQ290="0",BJ290,0)</f>
        <v>0</v>
      </c>
      <c r="AI290" s="52" t="s">
        <v>566</v>
      </c>
      <c r="AJ290" s="74">
        <f>IF(AN290=0,J290,0)</f>
        <v>0</v>
      </c>
      <c r="AK290" s="74">
        <f>IF(AN290=12,J290,0)</f>
        <v>0</v>
      </c>
      <c r="AL290" s="74">
        <f>IF(AN290=21,J290,0)</f>
        <v>0</v>
      </c>
      <c r="AN290" s="15">
        <v>21</v>
      </c>
      <c r="AO290" s="15">
        <f>G290*1</f>
        <v>0</v>
      </c>
      <c r="AP290" s="15">
        <f>G290*(1-1)</f>
        <v>0</v>
      </c>
      <c r="AQ290" s="10" t="s">
        <v>831</v>
      </c>
      <c r="AV290" s="15">
        <f>AW290+AX290</f>
        <v>0</v>
      </c>
      <c r="AW290" s="15">
        <f>F290*AO290</f>
        <v>0</v>
      </c>
      <c r="AX290" s="15">
        <f>F290*AP290</f>
        <v>0</v>
      </c>
      <c r="AY290" s="1" t="s">
        <v>739</v>
      </c>
      <c r="AZ290" s="1" t="s">
        <v>404</v>
      </c>
      <c r="BA290" s="52" t="s">
        <v>870</v>
      </c>
      <c r="BC290" s="15">
        <f>AW290+AX290</f>
        <v>0</v>
      </c>
      <c r="BD290" s="15">
        <f>G290/(100-BE290)*100</f>
        <v>0</v>
      </c>
      <c r="BE290" s="15">
        <v>0</v>
      </c>
      <c r="BF290" s="15">
        <f>290</f>
        <v>290</v>
      </c>
      <c r="BH290" s="74">
        <f>F290*AO290</f>
        <v>0</v>
      </c>
      <c r="BI290" s="74">
        <f>F290*AP290</f>
        <v>0</v>
      </c>
      <c r="BJ290" s="74">
        <f>F290*G290</f>
        <v>0</v>
      </c>
      <c r="BK290" s="74"/>
      <c r="BL290" s="15">
        <v>784</v>
      </c>
      <c r="BW290" s="15">
        <v>21</v>
      </c>
    </row>
    <row r="291" spans="1:11" ht="15" customHeight="1">
      <c r="A291" s="53"/>
      <c r="C291" s="66" t="s">
        <v>664</v>
      </c>
      <c r="D291" s="18" t="s">
        <v>771</v>
      </c>
      <c r="F291" s="13">
        <v>1.2100000000000002</v>
      </c>
      <c r="K291" s="32"/>
    </row>
    <row r="292" spans="1:11" ht="15" customHeight="1">
      <c r="A292" s="53"/>
      <c r="C292" s="66" t="s">
        <v>327</v>
      </c>
      <c r="D292" s="18" t="s">
        <v>577</v>
      </c>
      <c r="F292" s="13">
        <v>0.12000000000000001</v>
      </c>
      <c r="K292" s="32"/>
    </row>
    <row r="293" spans="1:47" ht="15" customHeight="1">
      <c r="A293" s="17" t="s">
        <v>577</v>
      </c>
      <c r="B293" s="20" t="s">
        <v>111</v>
      </c>
      <c r="C293" s="201" t="s">
        <v>585</v>
      </c>
      <c r="D293" s="210"/>
      <c r="E293" s="14" t="s">
        <v>774</v>
      </c>
      <c r="F293" s="14" t="s">
        <v>774</v>
      </c>
      <c r="G293" s="14" t="s">
        <v>774</v>
      </c>
      <c r="H293" s="68">
        <f>SUM(H294:H318)</f>
        <v>0</v>
      </c>
      <c r="I293" s="68">
        <f>SUM(I294:I318)</f>
        <v>0</v>
      </c>
      <c r="J293" s="68">
        <f>SUM(J294:J318)</f>
        <v>0</v>
      </c>
      <c r="K293" s="42" t="s">
        <v>577</v>
      </c>
      <c r="AI293" s="52" t="s">
        <v>566</v>
      </c>
      <c r="AS293" s="68">
        <f>SUM(AJ294:AJ318)</f>
        <v>0</v>
      </c>
      <c r="AT293" s="68">
        <f>SUM(AK294:AK318)</f>
        <v>0</v>
      </c>
      <c r="AU293" s="68">
        <f>SUM(AL294:AL318)</f>
        <v>0</v>
      </c>
    </row>
    <row r="294" spans="1:75" ht="13.5" customHeight="1">
      <c r="A294" s="7" t="s">
        <v>851</v>
      </c>
      <c r="B294" s="11" t="s">
        <v>330</v>
      </c>
      <c r="C294" s="135" t="s">
        <v>379</v>
      </c>
      <c r="D294" s="130"/>
      <c r="E294" s="11" t="s">
        <v>819</v>
      </c>
      <c r="F294" s="15">
        <v>1316.5</v>
      </c>
      <c r="G294" s="15">
        <v>0</v>
      </c>
      <c r="H294" s="15">
        <f>F294*AO294</f>
        <v>0</v>
      </c>
      <c r="I294" s="15">
        <f>F294*AP294</f>
        <v>0</v>
      </c>
      <c r="J294" s="15">
        <f>F294*G294</f>
        <v>0</v>
      </c>
      <c r="K294" s="12" t="s">
        <v>406</v>
      </c>
      <c r="Z294" s="15">
        <f>IF(AQ294="5",BJ294,0)</f>
        <v>0</v>
      </c>
      <c r="AB294" s="15">
        <f>IF(AQ294="1",BH294,0)</f>
        <v>0</v>
      </c>
      <c r="AC294" s="15">
        <f>IF(AQ294="1",BI294,0)</f>
        <v>0</v>
      </c>
      <c r="AD294" s="15">
        <f>IF(AQ294="7",BH294,0)</f>
        <v>0</v>
      </c>
      <c r="AE294" s="15">
        <f>IF(AQ294="7",BI294,0)</f>
        <v>0</v>
      </c>
      <c r="AF294" s="15">
        <f>IF(AQ294="2",BH294,0)</f>
        <v>0</v>
      </c>
      <c r="AG294" s="15">
        <f>IF(AQ294="2",BI294,0)</f>
        <v>0</v>
      </c>
      <c r="AH294" s="15">
        <f>IF(AQ294="0",BJ294,0)</f>
        <v>0</v>
      </c>
      <c r="AI294" s="52" t="s">
        <v>566</v>
      </c>
      <c r="AJ294" s="15">
        <f>IF(AN294=0,J294,0)</f>
        <v>0</v>
      </c>
      <c r="AK294" s="15">
        <f>IF(AN294=12,J294,0)</f>
        <v>0</v>
      </c>
      <c r="AL294" s="15">
        <f>IF(AN294=21,J294,0)</f>
        <v>0</v>
      </c>
      <c r="AN294" s="15">
        <v>21</v>
      </c>
      <c r="AO294" s="15">
        <f>G294*0</f>
        <v>0</v>
      </c>
      <c r="AP294" s="15">
        <f>G294*(1-0)</f>
        <v>0</v>
      </c>
      <c r="AQ294" s="1" t="s">
        <v>829</v>
      </c>
      <c r="AV294" s="15">
        <f>AW294+AX294</f>
        <v>0</v>
      </c>
      <c r="AW294" s="15">
        <f>F294*AO294</f>
        <v>0</v>
      </c>
      <c r="AX294" s="15">
        <f>F294*AP294</f>
        <v>0</v>
      </c>
      <c r="AY294" s="1" t="s">
        <v>911</v>
      </c>
      <c r="AZ294" s="1" t="s">
        <v>114</v>
      </c>
      <c r="BA294" s="52" t="s">
        <v>870</v>
      </c>
      <c r="BC294" s="15">
        <f>AW294+AX294</f>
        <v>0</v>
      </c>
      <c r="BD294" s="15">
        <f>G294/(100-BE294)*100</f>
        <v>0</v>
      </c>
      <c r="BE294" s="15">
        <v>0</v>
      </c>
      <c r="BF294" s="15">
        <f>294</f>
        <v>294</v>
      </c>
      <c r="BH294" s="15">
        <f>F294*AO294</f>
        <v>0</v>
      </c>
      <c r="BI294" s="15">
        <f>F294*AP294</f>
        <v>0</v>
      </c>
      <c r="BJ294" s="15">
        <f>F294*G294</f>
        <v>0</v>
      </c>
      <c r="BK294" s="15"/>
      <c r="BL294" s="15">
        <v>94</v>
      </c>
      <c r="BW294" s="15">
        <v>21</v>
      </c>
    </row>
    <row r="295" spans="1:11" ht="15" customHeight="1">
      <c r="A295" s="53"/>
      <c r="C295" s="66" t="s">
        <v>653</v>
      </c>
      <c r="D295" s="18" t="s">
        <v>749</v>
      </c>
      <c r="F295" s="13">
        <v>1316.5</v>
      </c>
      <c r="K295" s="32"/>
    </row>
    <row r="296" spans="1:75" ht="13.5" customHeight="1">
      <c r="A296" s="7" t="s">
        <v>505</v>
      </c>
      <c r="B296" s="11" t="s">
        <v>459</v>
      </c>
      <c r="C296" s="135" t="s">
        <v>100</v>
      </c>
      <c r="D296" s="130"/>
      <c r="E296" s="11" t="s">
        <v>819</v>
      </c>
      <c r="F296" s="15">
        <v>3949.5</v>
      </c>
      <c r="G296" s="15">
        <v>0</v>
      </c>
      <c r="H296" s="15">
        <f>F296*AO296</f>
        <v>0</v>
      </c>
      <c r="I296" s="15">
        <f>F296*AP296</f>
        <v>0</v>
      </c>
      <c r="J296" s="15">
        <f>F296*G296</f>
        <v>0</v>
      </c>
      <c r="K296" s="12" t="s">
        <v>406</v>
      </c>
      <c r="Z296" s="15">
        <f>IF(AQ296="5",BJ296,0)</f>
        <v>0</v>
      </c>
      <c r="AB296" s="15">
        <f>IF(AQ296="1",BH296,0)</f>
        <v>0</v>
      </c>
      <c r="AC296" s="15">
        <f>IF(AQ296="1",BI296,0)</f>
        <v>0</v>
      </c>
      <c r="AD296" s="15">
        <f>IF(AQ296="7",BH296,0)</f>
        <v>0</v>
      </c>
      <c r="AE296" s="15">
        <f>IF(AQ296="7",BI296,0)</f>
        <v>0</v>
      </c>
      <c r="AF296" s="15">
        <f>IF(AQ296="2",BH296,0)</f>
        <v>0</v>
      </c>
      <c r="AG296" s="15">
        <f>IF(AQ296="2",BI296,0)</f>
        <v>0</v>
      </c>
      <c r="AH296" s="15">
        <f>IF(AQ296="0",BJ296,0)</f>
        <v>0</v>
      </c>
      <c r="AI296" s="52" t="s">
        <v>566</v>
      </c>
      <c r="AJ296" s="15">
        <f>IF(AN296=0,J296,0)</f>
        <v>0</v>
      </c>
      <c r="AK296" s="15">
        <f>IF(AN296=12,J296,0)</f>
        <v>0</v>
      </c>
      <c r="AL296" s="15">
        <f>IF(AN296=21,J296,0)</f>
        <v>0</v>
      </c>
      <c r="AN296" s="15">
        <v>21</v>
      </c>
      <c r="AO296" s="15">
        <f>G296*1</f>
        <v>0</v>
      </c>
      <c r="AP296" s="15">
        <f>G296*(1-1)</f>
        <v>0</v>
      </c>
      <c r="AQ296" s="1" t="s">
        <v>829</v>
      </c>
      <c r="AV296" s="15">
        <f>AW296+AX296</f>
        <v>0</v>
      </c>
      <c r="AW296" s="15">
        <f>F296*AO296</f>
        <v>0</v>
      </c>
      <c r="AX296" s="15">
        <f>F296*AP296</f>
        <v>0</v>
      </c>
      <c r="AY296" s="1" t="s">
        <v>911</v>
      </c>
      <c r="AZ296" s="1" t="s">
        <v>114</v>
      </c>
      <c r="BA296" s="52" t="s">
        <v>870</v>
      </c>
      <c r="BC296" s="15">
        <f>AW296+AX296</f>
        <v>0</v>
      </c>
      <c r="BD296" s="15">
        <f>G296/(100-BE296)*100</f>
        <v>0</v>
      </c>
      <c r="BE296" s="15">
        <v>0</v>
      </c>
      <c r="BF296" s="15">
        <f>296</f>
        <v>296</v>
      </c>
      <c r="BH296" s="15">
        <f>F296*AO296</f>
        <v>0</v>
      </c>
      <c r="BI296" s="15">
        <f>F296*AP296</f>
        <v>0</v>
      </c>
      <c r="BJ296" s="15">
        <f>F296*G296</f>
        <v>0</v>
      </c>
      <c r="BK296" s="15"/>
      <c r="BL296" s="15">
        <v>94</v>
      </c>
      <c r="BW296" s="15">
        <v>21</v>
      </c>
    </row>
    <row r="297" spans="1:11" ht="15" customHeight="1">
      <c r="A297" s="53"/>
      <c r="C297" s="66" t="s">
        <v>866</v>
      </c>
      <c r="D297" s="18" t="s">
        <v>577</v>
      </c>
      <c r="F297" s="13">
        <v>3949.5000000000005</v>
      </c>
      <c r="K297" s="32"/>
    </row>
    <row r="298" spans="1:75" ht="13.5" customHeight="1">
      <c r="A298" s="7" t="s">
        <v>436</v>
      </c>
      <c r="B298" s="11" t="s">
        <v>115</v>
      </c>
      <c r="C298" s="135" t="s">
        <v>875</v>
      </c>
      <c r="D298" s="130"/>
      <c r="E298" s="11" t="s">
        <v>819</v>
      </c>
      <c r="F298" s="15">
        <v>1316.5</v>
      </c>
      <c r="G298" s="15">
        <v>0</v>
      </c>
      <c r="H298" s="15">
        <f>F298*AO298</f>
        <v>0</v>
      </c>
      <c r="I298" s="15">
        <f>F298*AP298</f>
        <v>0</v>
      </c>
      <c r="J298" s="15">
        <f>F298*G298</f>
        <v>0</v>
      </c>
      <c r="K298" s="12" t="s">
        <v>406</v>
      </c>
      <c r="Z298" s="15">
        <f>IF(AQ298="5",BJ298,0)</f>
        <v>0</v>
      </c>
      <c r="AB298" s="15">
        <f>IF(AQ298="1",BH298,0)</f>
        <v>0</v>
      </c>
      <c r="AC298" s="15">
        <f>IF(AQ298="1",BI298,0)</f>
        <v>0</v>
      </c>
      <c r="AD298" s="15">
        <f>IF(AQ298="7",BH298,0)</f>
        <v>0</v>
      </c>
      <c r="AE298" s="15">
        <f>IF(AQ298="7",BI298,0)</f>
        <v>0</v>
      </c>
      <c r="AF298" s="15">
        <f>IF(AQ298="2",BH298,0)</f>
        <v>0</v>
      </c>
      <c r="AG298" s="15">
        <f>IF(AQ298="2",BI298,0)</f>
        <v>0</v>
      </c>
      <c r="AH298" s="15">
        <f>IF(AQ298="0",BJ298,0)</f>
        <v>0</v>
      </c>
      <c r="AI298" s="52" t="s">
        <v>566</v>
      </c>
      <c r="AJ298" s="15">
        <f>IF(AN298=0,J298,0)</f>
        <v>0</v>
      </c>
      <c r="AK298" s="15">
        <f>IF(AN298=12,J298,0)</f>
        <v>0</v>
      </c>
      <c r="AL298" s="15">
        <f>IF(AN298=21,J298,0)</f>
        <v>0</v>
      </c>
      <c r="AN298" s="15">
        <v>21</v>
      </c>
      <c r="AO298" s="15">
        <f>G298*0</f>
        <v>0</v>
      </c>
      <c r="AP298" s="15">
        <f>G298*(1-0)</f>
        <v>0</v>
      </c>
      <c r="AQ298" s="1" t="s">
        <v>829</v>
      </c>
      <c r="AV298" s="15">
        <f>AW298+AX298</f>
        <v>0</v>
      </c>
      <c r="AW298" s="15">
        <f>F298*AO298</f>
        <v>0</v>
      </c>
      <c r="AX298" s="15">
        <f>F298*AP298</f>
        <v>0</v>
      </c>
      <c r="AY298" s="1" t="s">
        <v>911</v>
      </c>
      <c r="AZ298" s="1" t="s">
        <v>114</v>
      </c>
      <c r="BA298" s="52" t="s">
        <v>870</v>
      </c>
      <c r="BC298" s="15">
        <f>AW298+AX298</f>
        <v>0</v>
      </c>
      <c r="BD298" s="15">
        <f>G298/(100-BE298)*100</f>
        <v>0</v>
      </c>
      <c r="BE298" s="15">
        <v>0</v>
      </c>
      <c r="BF298" s="15">
        <f>298</f>
        <v>298</v>
      </c>
      <c r="BH298" s="15">
        <f>F298*AO298</f>
        <v>0</v>
      </c>
      <c r="BI298" s="15">
        <f>F298*AP298</f>
        <v>0</v>
      </c>
      <c r="BJ298" s="15">
        <f>F298*G298</f>
        <v>0</v>
      </c>
      <c r="BK298" s="15"/>
      <c r="BL298" s="15">
        <v>94</v>
      </c>
      <c r="BW298" s="15">
        <v>21</v>
      </c>
    </row>
    <row r="299" spans="1:11" ht="15" customHeight="1">
      <c r="A299" s="53"/>
      <c r="C299" s="66" t="s">
        <v>250</v>
      </c>
      <c r="D299" s="18" t="s">
        <v>577</v>
      </c>
      <c r="F299" s="13">
        <v>1316.5</v>
      </c>
      <c r="K299" s="32"/>
    </row>
    <row r="300" spans="1:75" ht="13.5" customHeight="1">
      <c r="A300" s="7" t="s">
        <v>547</v>
      </c>
      <c r="B300" s="11" t="s">
        <v>864</v>
      </c>
      <c r="C300" s="135" t="s">
        <v>391</v>
      </c>
      <c r="D300" s="130"/>
      <c r="E300" s="11" t="s">
        <v>695</v>
      </c>
      <c r="F300" s="15">
        <v>3</v>
      </c>
      <c r="G300" s="15">
        <v>0</v>
      </c>
      <c r="H300" s="15">
        <f>F300*AO300</f>
        <v>0</v>
      </c>
      <c r="I300" s="15">
        <f>F300*AP300</f>
        <v>0</v>
      </c>
      <c r="J300" s="15">
        <f>F300*G300</f>
        <v>0</v>
      </c>
      <c r="K300" s="12" t="s">
        <v>406</v>
      </c>
      <c r="Z300" s="15">
        <f>IF(AQ300="5",BJ300,0)</f>
        <v>0</v>
      </c>
      <c r="AB300" s="15">
        <f>IF(AQ300="1",BH300,0)</f>
        <v>0</v>
      </c>
      <c r="AC300" s="15">
        <f>IF(AQ300="1",BI300,0)</f>
        <v>0</v>
      </c>
      <c r="AD300" s="15">
        <f>IF(AQ300="7",BH300,0)</f>
        <v>0</v>
      </c>
      <c r="AE300" s="15">
        <f>IF(AQ300="7",BI300,0)</f>
        <v>0</v>
      </c>
      <c r="AF300" s="15">
        <f>IF(AQ300="2",BH300,0)</f>
        <v>0</v>
      </c>
      <c r="AG300" s="15">
        <f>IF(AQ300="2",BI300,0)</f>
        <v>0</v>
      </c>
      <c r="AH300" s="15">
        <f>IF(AQ300="0",BJ300,0)</f>
        <v>0</v>
      </c>
      <c r="AI300" s="52" t="s">
        <v>566</v>
      </c>
      <c r="AJ300" s="15">
        <f>IF(AN300=0,J300,0)</f>
        <v>0</v>
      </c>
      <c r="AK300" s="15">
        <f>IF(AN300=12,J300,0)</f>
        <v>0</v>
      </c>
      <c r="AL300" s="15">
        <f>IF(AN300=21,J300,0)</f>
        <v>0</v>
      </c>
      <c r="AN300" s="15">
        <v>21</v>
      </c>
      <c r="AO300" s="15">
        <f>G300*0.405262510758638</f>
        <v>0</v>
      </c>
      <c r="AP300" s="15">
        <f>G300*(1-0.405262510758638)</f>
        <v>0</v>
      </c>
      <c r="AQ300" s="1" t="s">
        <v>829</v>
      </c>
      <c r="AV300" s="15">
        <f>AW300+AX300</f>
        <v>0</v>
      </c>
      <c r="AW300" s="15">
        <f>F300*AO300</f>
        <v>0</v>
      </c>
      <c r="AX300" s="15">
        <f>F300*AP300</f>
        <v>0</v>
      </c>
      <c r="AY300" s="1" t="s">
        <v>911</v>
      </c>
      <c r="AZ300" s="1" t="s">
        <v>114</v>
      </c>
      <c r="BA300" s="52" t="s">
        <v>870</v>
      </c>
      <c r="BC300" s="15">
        <f>AW300+AX300</f>
        <v>0</v>
      </c>
      <c r="BD300" s="15">
        <f>G300/(100-BE300)*100</f>
        <v>0</v>
      </c>
      <c r="BE300" s="15">
        <v>0</v>
      </c>
      <c r="BF300" s="15">
        <f>300</f>
        <v>300</v>
      </c>
      <c r="BH300" s="15">
        <f>F300*AO300</f>
        <v>0</v>
      </c>
      <c r="BI300" s="15">
        <f>F300*AP300</f>
        <v>0</v>
      </c>
      <c r="BJ300" s="15">
        <f>F300*G300</f>
        <v>0</v>
      </c>
      <c r="BK300" s="15"/>
      <c r="BL300" s="15">
        <v>94</v>
      </c>
      <c r="BW300" s="15">
        <v>21</v>
      </c>
    </row>
    <row r="301" spans="1:11" ht="15" customHeight="1">
      <c r="A301" s="53"/>
      <c r="C301" s="66" t="s">
        <v>724</v>
      </c>
      <c r="D301" s="18" t="s">
        <v>577</v>
      </c>
      <c r="F301" s="13">
        <v>3.0000000000000004</v>
      </c>
      <c r="K301" s="32"/>
    </row>
    <row r="302" spans="1:75" ht="13.5" customHeight="1">
      <c r="A302" s="7" t="s">
        <v>48</v>
      </c>
      <c r="B302" s="11" t="s">
        <v>427</v>
      </c>
      <c r="C302" s="135" t="s">
        <v>462</v>
      </c>
      <c r="D302" s="130"/>
      <c r="E302" s="11" t="s">
        <v>695</v>
      </c>
      <c r="F302" s="15">
        <v>9</v>
      </c>
      <c r="G302" s="15">
        <v>0</v>
      </c>
      <c r="H302" s="15">
        <f>F302*AO302</f>
        <v>0</v>
      </c>
      <c r="I302" s="15">
        <f>F302*AP302</f>
        <v>0</v>
      </c>
      <c r="J302" s="15">
        <f>F302*G302</f>
        <v>0</v>
      </c>
      <c r="K302" s="12" t="s">
        <v>406</v>
      </c>
      <c r="Z302" s="15">
        <f>IF(AQ302="5",BJ302,0)</f>
        <v>0</v>
      </c>
      <c r="AB302" s="15">
        <f>IF(AQ302="1",BH302,0)</f>
        <v>0</v>
      </c>
      <c r="AC302" s="15">
        <f>IF(AQ302="1",BI302,0)</f>
        <v>0</v>
      </c>
      <c r="AD302" s="15">
        <f>IF(AQ302="7",BH302,0)</f>
        <v>0</v>
      </c>
      <c r="AE302" s="15">
        <f>IF(AQ302="7",BI302,0)</f>
        <v>0</v>
      </c>
      <c r="AF302" s="15">
        <f>IF(AQ302="2",BH302,0)</f>
        <v>0</v>
      </c>
      <c r="AG302" s="15">
        <f>IF(AQ302="2",BI302,0)</f>
        <v>0</v>
      </c>
      <c r="AH302" s="15">
        <f>IF(AQ302="0",BJ302,0)</f>
        <v>0</v>
      </c>
      <c r="AI302" s="52" t="s">
        <v>566</v>
      </c>
      <c r="AJ302" s="15">
        <f>IF(AN302=0,J302,0)</f>
        <v>0</v>
      </c>
      <c r="AK302" s="15">
        <f>IF(AN302=12,J302,0)</f>
        <v>0</v>
      </c>
      <c r="AL302" s="15">
        <f>IF(AN302=21,J302,0)</f>
        <v>0</v>
      </c>
      <c r="AN302" s="15">
        <v>21</v>
      </c>
      <c r="AO302" s="15">
        <f>G302*0.918347107438017</f>
        <v>0</v>
      </c>
      <c r="AP302" s="15">
        <f>G302*(1-0.918347107438017)</f>
        <v>0</v>
      </c>
      <c r="AQ302" s="1" t="s">
        <v>829</v>
      </c>
      <c r="AV302" s="15">
        <f>AW302+AX302</f>
        <v>0</v>
      </c>
      <c r="AW302" s="15">
        <f>F302*AO302</f>
        <v>0</v>
      </c>
      <c r="AX302" s="15">
        <f>F302*AP302</f>
        <v>0</v>
      </c>
      <c r="AY302" s="1" t="s">
        <v>911</v>
      </c>
      <c r="AZ302" s="1" t="s">
        <v>114</v>
      </c>
      <c r="BA302" s="52" t="s">
        <v>870</v>
      </c>
      <c r="BC302" s="15">
        <f>AW302+AX302</f>
        <v>0</v>
      </c>
      <c r="BD302" s="15">
        <f>G302/(100-BE302)*100</f>
        <v>0</v>
      </c>
      <c r="BE302" s="15">
        <v>0</v>
      </c>
      <c r="BF302" s="15">
        <f>302</f>
        <v>302</v>
      </c>
      <c r="BH302" s="15">
        <f>F302*AO302</f>
        <v>0</v>
      </c>
      <c r="BI302" s="15">
        <f>F302*AP302</f>
        <v>0</v>
      </c>
      <c r="BJ302" s="15">
        <f>F302*G302</f>
        <v>0</v>
      </c>
      <c r="BK302" s="15"/>
      <c r="BL302" s="15">
        <v>94</v>
      </c>
      <c r="BW302" s="15">
        <v>21</v>
      </c>
    </row>
    <row r="303" spans="1:11" ht="15" customHeight="1">
      <c r="A303" s="53"/>
      <c r="C303" s="66" t="s">
        <v>442</v>
      </c>
      <c r="D303" s="18" t="s">
        <v>577</v>
      </c>
      <c r="F303" s="13">
        <v>9</v>
      </c>
      <c r="K303" s="32"/>
    </row>
    <row r="304" spans="1:75" ht="13.5" customHeight="1">
      <c r="A304" s="7" t="s">
        <v>893</v>
      </c>
      <c r="B304" s="11" t="s">
        <v>122</v>
      </c>
      <c r="C304" s="135" t="s">
        <v>689</v>
      </c>
      <c r="D304" s="130"/>
      <c r="E304" s="11" t="s">
        <v>695</v>
      </c>
      <c r="F304" s="15">
        <v>3</v>
      </c>
      <c r="G304" s="15">
        <v>0</v>
      </c>
      <c r="H304" s="15">
        <f>F304*AO304</f>
        <v>0</v>
      </c>
      <c r="I304" s="15">
        <f>F304*AP304</f>
        <v>0</v>
      </c>
      <c r="J304" s="15">
        <f>F304*G304</f>
        <v>0</v>
      </c>
      <c r="K304" s="12" t="s">
        <v>406</v>
      </c>
      <c r="Z304" s="15">
        <f>IF(AQ304="5",BJ304,0)</f>
        <v>0</v>
      </c>
      <c r="AB304" s="15">
        <f>IF(AQ304="1",BH304,0)</f>
        <v>0</v>
      </c>
      <c r="AC304" s="15">
        <f>IF(AQ304="1",BI304,0)</f>
        <v>0</v>
      </c>
      <c r="AD304" s="15">
        <f>IF(AQ304="7",BH304,0)</f>
        <v>0</v>
      </c>
      <c r="AE304" s="15">
        <f>IF(AQ304="7",BI304,0)</f>
        <v>0</v>
      </c>
      <c r="AF304" s="15">
        <f>IF(AQ304="2",BH304,0)</f>
        <v>0</v>
      </c>
      <c r="AG304" s="15">
        <f>IF(AQ304="2",BI304,0)</f>
        <v>0</v>
      </c>
      <c r="AH304" s="15">
        <f>IF(AQ304="0",BJ304,0)</f>
        <v>0</v>
      </c>
      <c r="AI304" s="52" t="s">
        <v>566</v>
      </c>
      <c r="AJ304" s="15">
        <f>IF(AN304=0,J304,0)</f>
        <v>0</v>
      </c>
      <c r="AK304" s="15">
        <f>IF(AN304=12,J304,0)</f>
        <v>0</v>
      </c>
      <c r="AL304" s="15">
        <f>IF(AN304=21,J304,0)</f>
        <v>0</v>
      </c>
      <c r="AN304" s="15">
        <v>21</v>
      </c>
      <c r="AO304" s="15">
        <f>G304*0</f>
        <v>0</v>
      </c>
      <c r="AP304" s="15">
        <f>G304*(1-0)</f>
        <v>0</v>
      </c>
      <c r="AQ304" s="1" t="s">
        <v>829</v>
      </c>
      <c r="AV304" s="15">
        <f>AW304+AX304</f>
        <v>0</v>
      </c>
      <c r="AW304" s="15">
        <f>F304*AO304</f>
        <v>0</v>
      </c>
      <c r="AX304" s="15">
        <f>F304*AP304</f>
        <v>0</v>
      </c>
      <c r="AY304" s="1" t="s">
        <v>911</v>
      </c>
      <c r="AZ304" s="1" t="s">
        <v>114</v>
      </c>
      <c r="BA304" s="52" t="s">
        <v>870</v>
      </c>
      <c r="BC304" s="15">
        <f>AW304+AX304</f>
        <v>0</v>
      </c>
      <c r="BD304" s="15">
        <f>G304/(100-BE304)*100</f>
        <v>0</v>
      </c>
      <c r="BE304" s="15">
        <v>0</v>
      </c>
      <c r="BF304" s="15">
        <f>304</f>
        <v>304</v>
      </c>
      <c r="BH304" s="15">
        <f>F304*AO304</f>
        <v>0</v>
      </c>
      <c r="BI304" s="15">
        <f>F304*AP304</f>
        <v>0</v>
      </c>
      <c r="BJ304" s="15">
        <f>F304*G304</f>
        <v>0</v>
      </c>
      <c r="BK304" s="15"/>
      <c r="BL304" s="15">
        <v>94</v>
      </c>
      <c r="BW304" s="15">
        <v>21</v>
      </c>
    </row>
    <row r="305" spans="1:11" ht="15" customHeight="1">
      <c r="A305" s="53"/>
      <c r="C305" s="66" t="s">
        <v>724</v>
      </c>
      <c r="D305" s="18" t="s">
        <v>577</v>
      </c>
      <c r="F305" s="13">
        <v>3.0000000000000004</v>
      </c>
      <c r="K305" s="32"/>
    </row>
    <row r="306" spans="1:75" ht="13.5" customHeight="1">
      <c r="A306" s="7" t="s">
        <v>887</v>
      </c>
      <c r="B306" s="11" t="s">
        <v>871</v>
      </c>
      <c r="C306" s="135" t="s">
        <v>495</v>
      </c>
      <c r="D306" s="130"/>
      <c r="E306" s="11" t="s">
        <v>819</v>
      </c>
      <c r="F306" s="15">
        <v>381.5</v>
      </c>
      <c r="G306" s="15">
        <v>0</v>
      </c>
      <c r="H306" s="15">
        <f>F306*AO306</f>
        <v>0</v>
      </c>
      <c r="I306" s="15">
        <f>F306*AP306</f>
        <v>0</v>
      </c>
      <c r="J306" s="15">
        <f>F306*G306</f>
        <v>0</v>
      </c>
      <c r="K306" s="12" t="s">
        <v>406</v>
      </c>
      <c r="Z306" s="15">
        <f>IF(AQ306="5",BJ306,0)</f>
        <v>0</v>
      </c>
      <c r="AB306" s="15">
        <f>IF(AQ306="1",BH306,0)</f>
        <v>0</v>
      </c>
      <c r="AC306" s="15">
        <f>IF(AQ306="1",BI306,0)</f>
        <v>0</v>
      </c>
      <c r="AD306" s="15">
        <f>IF(AQ306="7",BH306,0)</f>
        <v>0</v>
      </c>
      <c r="AE306" s="15">
        <f>IF(AQ306="7",BI306,0)</f>
        <v>0</v>
      </c>
      <c r="AF306" s="15">
        <f>IF(AQ306="2",BH306,0)</f>
        <v>0</v>
      </c>
      <c r="AG306" s="15">
        <f>IF(AQ306="2",BI306,0)</f>
        <v>0</v>
      </c>
      <c r="AH306" s="15">
        <f>IF(AQ306="0",BJ306,0)</f>
        <v>0</v>
      </c>
      <c r="AI306" s="52" t="s">
        <v>566</v>
      </c>
      <c r="AJ306" s="15">
        <f>IF(AN306=0,J306,0)</f>
        <v>0</v>
      </c>
      <c r="AK306" s="15">
        <f>IF(AN306=12,J306,0)</f>
        <v>0</v>
      </c>
      <c r="AL306" s="15">
        <f>IF(AN306=21,J306,0)</f>
        <v>0</v>
      </c>
      <c r="AN306" s="15">
        <v>21</v>
      </c>
      <c r="AO306" s="15">
        <f>G306*0.0140579710144928</f>
        <v>0</v>
      </c>
      <c r="AP306" s="15">
        <f>G306*(1-0.0140579710144928)</f>
        <v>0</v>
      </c>
      <c r="AQ306" s="1" t="s">
        <v>829</v>
      </c>
      <c r="AV306" s="15">
        <f>AW306+AX306</f>
        <v>0</v>
      </c>
      <c r="AW306" s="15">
        <f>F306*AO306</f>
        <v>0</v>
      </c>
      <c r="AX306" s="15">
        <f>F306*AP306</f>
        <v>0</v>
      </c>
      <c r="AY306" s="1" t="s">
        <v>911</v>
      </c>
      <c r="AZ306" s="1" t="s">
        <v>114</v>
      </c>
      <c r="BA306" s="52" t="s">
        <v>870</v>
      </c>
      <c r="BC306" s="15">
        <f>AW306+AX306</f>
        <v>0</v>
      </c>
      <c r="BD306" s="15">
        <f>G306/(100-BE306)*100</f>
        <v>0</v>
      </c>
      <c r="BE306" s="15">
        <v>0</v>
      </c>
      <c r="BF306" s="15">
        <f>306</f>
        <v>306</v>
      </c>
      <c r="BH306" s="15">
        <f>F306*AO306</f>
        <v>0</v>
      </c>
      <c r="BI306" s="15">
        <f>F306*AP306</f>
        <v>0</v>
      </c>
      <c r="BJ306" s="15">
        <f>F306*G306</f>
        <v>0</v>
      </c>
      <c r="BK306" s="15"/>
      <c r="BL306" s="15">
        <v>94</v>
      </c>
      <c r="BW306" s="15">
        <v>21</v>
      </c>
    </row>
    <row r="307" spans="1:11" ht="15" customHeight="1">
      <c r="A307" s="53"/>
      <c r="C307" s="66" t="s">
        <v>746</v>
      </c>
      <c r="D307" s="18" t="s">
        <v>218</v>
      </c>
      <c r="F307" s="13">
        <v>381.50000000000006</v>
      </c>
      <c r="K307" s="32"/>
    </row>
    <row r="308" spans="1:75" ht="13.5" customHeight="1">
      <c r="A308" s="7" t="s">
        <v>886</v>
      </c>
      <c r="B308" s="11" t="s">
        <v>189</v>
      </c>
      <c r="C308" s="135" t="s">
        <v>423</v>
      </c>
      <c r="D308" s="130"/>
      <c r="E308" s="11" t="s">
        <v>819</v>
      </c>
      <c r="F308" s="15">
        <v>1144.5</v>
      </c>
      <c r="G308" s="15">
        <v>0</v>
      </c>
      <c r="H308" s="15">
        <f>F308*AO308</f>
        <v>0</v>
      </c>
      <c r="I308" s="15">
        <f>F308*AP308</f>
        <v>0</v>
      </c>
      <c r="J308" s="15">
        <f>F308*G308</f>
        <v>0</v>
      </c>
      <c r="K308" s="12" t="s">
        <v>406</v>
      </c>
      <c r="Z308" s="15">
        <f>IF(AQ308="5",BJ308,0)</f>
        <v>0</v>
      </c>
      <c r="AB308" s="15">
        <f>IF(AQ308="1",BH308,0)</f>
        <v>0</v>
      </c>
      <c r="AC308" s="15">
        <f>IF(AQ308="1",BI308,0)</f>
        <v>0</v>
      </c>
      <c r="AD308" s="15">
        <f>IF(AQ308="7",BH308,0)</f>
        <v>0</v>
      </c>
      <c r="AE308" s="15">
        <f>IF(AQ308="7",BI308,0)</f>
        <v>0</v>
      </c>
      <c r="AF308" s="15">
        <f>IF(AQ308="2",BH308,0)</f>
        <v>0</v>
      </c>
      <c r="AG308" s="15">
        <f>IF(AQ308="2",BI308,0)</f>
        <v>0</v>
      </c>
      <c r="AH308" s="15">
        <f>IF(AQ308="0",BJ308,0)</f>
        <v>0</v>
      </c>
      <c r="AI308" s="52" t="s">
        <v>566</v>
      </c>
      <c r="AJ308" s="15">
        <f>IF(AN308=0,J308,0)</f>
        <v>0</v>
      </c>
      <c r="AK308" s="15">
        <f>IF(AN308=12,J308,0)</f>
        <v>0</v>
      </c>
      <c r="AL308" s="15">
        <f>IF(AN308=21,J308,0)</f>
        <v>0</v>
      </c>
      <c r="AN308" s="15">
        <v>21</v>
      </c>
      <c r="AO308" s="15">
        <f>G308*0.944117647058823</f>
        <v>0</v>
      </c>
      <c r="AP308" s="15">
        <f>G308*(1-0.944117647058823)</f>
        <v>0</v>
      </c>
      <c r="AQ308" s="1" t="s">
        <v>829</v>
      </c>
      <c r="AV308" s="15">
        <f>AW308+AX308</f>
        <v>0</v>
      </c>
      <c r="AW308" s="15">
        <f>F308*AO308</f>
        <v>0</v>
      </c>
      <c r="AX308" s="15">
        <f>F308*AP308</f>
        <v>0</v>
      </c>
      <c r="AY308" s="1" t="s">
        <v>911</v>
      </c>
      <c r="AZ308" s="1" t="s">
        <v>114</v>
      </c>
      <c r="BA308" s="52" t="s">
        <v>870</v>
      </c>
      <c r="BC308" s="15">
        <f>AW308+AX308</f>
        <v>0</v>
      </c>
      <c r="BD308" s="15">
        <f>G308/(100-BE308)*100</f>
        <v>0</v>
      </c>
      <c r="BE308" s="15">
        <v>0</v>
      </c>
      <c r="BF308" s="15">
        <f>308</f>
        <v>308</v>
      </c>
      <c r="BH308" s="15">
        <f>F308*AO308</f>
        <v>0</v>
      </c>
      <c r="BI308" s="15">
        <f>F308*AP308</f>
        <v>0</v>
      </c>
      <c r="BJ308" s="15">
        <f>F308*G308</f>
        <v>0</v>
      </c>
      <c r="BK308" s="15"/>
      <c r="BL308" s="15">
        <v>94</v>
      </c>
      <c r="BW308" s="15">
        <v>21</v>
      </c>
    </row>
    <row r="309" spans="1:11" ht="15" customHeight="1">
      <c r="A309" s="53"/>
      <c r="C309" s="66" t="s">
        <v>803</v>
      </c>
      <c r="D309" s="18" t="s">
        <v>577</v>
      </c>
      <c r="F309" s="13">
        <v>1144.5</v>
      </c>
      <c r="K309" s="32"/>
    </row>
    <row r="310" spans="1:75" ht="13.5" customHeight="1">
      <c r="A310" s="7" t="s">
        <v>45</v>
      </c>
      <c r="B310" s="11" t="s">
        <v>153</v>
      </c>
      <c r="C310" s="135" t="s">
        <v>378</v>
      </c>
      <c r="D310" s="130"/>
      <c r="E310" s="11" t="s">
        <v>819</v>
      </c>
      <c r="F310" s="15">
        <v>935</v>
      </c>
      <c r="G310" s="15">
        <v>0</v>
      </c>
      <c r="H310" s="15">
        <f>F310*AO310</f>
        <v>0</v>
      </c>
      <c r="I310" s="15">
        <f>F310*AP310</f>
        <v>0</v>
      </c>
      <c r="J310" s="15">
        <f>F310*G310</f>
        <v>0</v>
      </c>
      <c r="K310" s="12" t="s">
        <v>406</v>
      </c>
      <c r="Z310" s="15">
        <f>IF(AQ310="5",BJ310,0)</f>
        <v>0</v>
      </c>
      <c r="AB310" s="15">
        <f>IF(AQ310="1",BH310,0)</f>
        <v>0</v>
      </c>
      <c r="AC310" s="15">
        <f>IF(AQ310="1",BI310,0)</f>
        <v>0</v>
      </c>
      <c r="AD310" s="15">
        <f>IF(AQ310="7",BH310,0)</f>
        <v>0</v>
      </c>
      <c r="AE310" s="15">
        <f>IF(AQ310="7",BI310,0)</f>
        <v>0</v>
      </c>
      <c r="AF310" s="15">
        <f>IF(AQ310="2",BH310,0)</f>
        <v>0</v>
      </c>
      <c r="AG310" s="15">
        <f>IF(AQ310="2",BI310,0)</f>
        <v>0</v>
      </c>
      <c r="AH310" s="15">
        <f>IF(AQ310="0",BJ310,0)</f>
        <v>0</v>
      </c>
      <c r="AI310" s="52" t="s">
        <v>566</v>
      </c>
      <c r="AJ310" s="15">
        <f>IF(AN310=0,J310,0)</f>
        <v>0</v>
      </c>
      <c r="AK310" s="15">
        <f>IF(AN310=12,J310,0)</f>
        <v>0</v>
      </c>
      <c r="AL310" s="15">
        <f>IF(AN310=21,J310,0)</f>
        <v>0</v>
      </c>
      <c r="AN310" s="15">
        <v>21</v>
      </c>
      <c r="AO310" s="15">
        <f>G310*0.00927059646667833</f>
        <v>0</v>
      </c>
      <c r="AP310" s="15">
        <f>G310*(1-0.00927059646667833)</f>
        <v>0</v>
      </c>
      <c r="AQ310" s="1" t="s">
        <v>829</v>
      </c>
      <c r="AV310" s="15">
        <f>AW310+AX310</f>
        <v>0</v>
      </c>
      <c r="AW310" s="15">
        <f>F310*AO310</f>
        <v>0</v>
      </c>
      <c r="AX310" s="15">
        <f>F310*AP310</f>
        <v>0</v>
      </c>
      <c r="AY310" s="1" t="s">
        <v>911</v>
      </c>
      <c r="AZ310" s="1" t="s">
        <v>114</v>
      </c>
      <c r="BA310" s="52" t="s">
        <v>870</v>
      </c>
      <c r="BC310" s="15">
        <f>AW310+AX310</f>
        <v>0</v>
      </c>
      <c r="BD310" s="15">
        <f>G310/(100-BE310)*100</f>
        <v>0</v>
      </c>
      <c r="BE310" s="15">
        <v>0</v>
      </c>
      <c r="BF310" s="15">
        <f>310</f>
        <v>310</v>
      </c>
      <c r="BH310" s="15">
        <f>F310*AO310</f>
        <v>0</v>
      </c>
      <c r="BI310" s="15">
        <f>F310*AP310</f>
        <v>0</v>
      </c>
      <c r="BJ310" s="15">
        <f>F310*G310</f>
        <v>0</v>
      </c>
      <c r="BK310" s="15"/>
      <c r="BL310" s="15">
        <v>94</v>
      </c>
      <c r="BW310" s="15">
        <v>21</v>
      </c>
    </row>
    <row r="311" spans="1:11" ht="15" customHeight="1">
      <c r="A311" s="53"/>
      <c r="C311" s="66" t="s">
        <v>87</v>
      </c>
      <c r="D311" s="18" t="s">
        <v>42</v>
      </c>
      <c r="F311" s="13">
        <v>935.0000000000001</v>
      </c>
      <c r="K311" s="32"/>
    </row>
    <row r="312" spans="1:75" ht="13.5" customHeight="1">
      <c r="A312" s="7" t="s">
        <v>0</v>
      </c>
      <c r="B312" s="11" t="s">
        <v>710</v>
      </c>
      <c r="C312" s="135" t="s">
        <v>635</v>
      </c>
      <c r="D312" s="130"/>
      <c r="E312" s="11" t="s">
        <v>819</v>
      </c>
      <c r="F312" s="15">
        <v>2805</v>
      </c>
      <c r="G312" s="15">
        <v>0</v>
      </c>
      <c r="H312" s="15">
        <f>F312*AO312</f>
        <v>0</v>
      </c>
      <c r="I312" s="15">
        <f>F312*AP312</f>
        <v>0</v>
      </c>
      <c r="J312" s="15">
        <f>F312*G312</f>
        <v>0</v>
      </c>
      <c r="K312" s="12" t="s">
        <v>406</v>
      </c>
      <c r="Z312" s="15">
        <f>IF(AQ312="5",BJ312,0)</f>
        <v>0</v>
      </c>
      <c r="AB312" s="15">
        <f>IF(AQ312="1",BH312,0)</f>
        <v>0</v>
      </c>
      <c r="AC312" s="15">
        <f>IF(AQ312="1",BI312,0)</f>
        <v>0</v>
      </c>
      <c r="AD312" s="15">
        <f>IF(AQ312="7",BH312,0)</f>
        <v>0</v>
      </c>
      <c r="AE312" s="15">
        <f>IF(AQ312="7",BI312,0)</f>
        <v>0</v>
      </c>
      <c r="AF312" s="15">
        <f>IF(AQ312="2",BH312,0)</f>
        <v>0</v>
      </c>
      <c r="AG312" s="15">
        <f>IF(AQ312="2",BI312,0)</f>
        <v>0</v>
      </c>
      <c r="AH312" s="15">
        <f>IF(AQ312="0",BJ312,0)</f>
        <v>0</v>
      </c>
      <c r="AI312" s="52" t="s">
        <v>566</v>
      </c>
      <c r="AJ312" s="15">
        <f>IF(AN312=0,J312,0)</f>
        <v>0</v>
      </c>
      <c r="AK312" s="15">
        <f>IF(AN312=12,J312,0)</f>
        <v>0</v>
      </c>
      <c r="AL312" s="15">
        <f>IF(AN312=21,J312,0)</f>
        <v>0</v>
      </c>
      <c r="AN312" s="15">
        <v>21</v>
      </c>
      <c r="AO312" s="15">
        <f>G312*0.941785714285714</f>
        <v>0</v>
      </c>
      <c r="AP312" s="15">
        <f>G312*(1-0.941785714285714)</f>
        <v>0</v>
      </c>
      <c r="AQ312" s="1" t="s">
        <v>829</v>
      </c>
      <c r="AV312" s="15">
        <f>AW312+AX312</f>
        <v>0</v>
      </c>
      <c r="AW312" s="15">
        <f>F312*AO312</f>
        <v>0</v>
      </c>
      <c r="AX312" s="15">
        <f>F312*AP312</f>
        <v>0</v>
      </c>
      <c r="AY312" s="1" t="s">
        <v>911</v>
      </c>
      <c r="AZ312" s="1" t="s">
        <v>114</v>
      </c>
      <c r="BA312" s="52" t="s">
        <v>870</v>
      </c>
      <c r="BC312" s="15">
        <f>AW312+AX312</f>
        <v>0</v>
      </c>
      <c r="BD312" s="15">
        <f>G312/(100-BE312)*100</f>
        <v>0</v>
      </c>
      <c r="BE312" s="15">
        <v>0</v>
      </c>
      <c r="BF312" s="15">
        <f>312</f>
        <v>312</v>
      </c>
      <c r="BH312" s="15">
        <f>F312*AO312</f>
        <v>0</v>
      </c>
      <c r="BI312" s="15">
        <f>F312*AP312</f>
        <v>0</v>
      </c>
      <c r="BJ312" s="15">
        <f>F312*G312</f>
        <v>0</v>
      </c>
      <c r="BK312" s="15"/>
      <c r="BL312" s="15">
        <v>94</v>
      </c>
      <c r="BW312" s="15">
        <v>21</v>
      </c>
    </row>
    <row r="313" spans="1:11" ht="15" customHeight="1">
      <c r="A313" s="53"/>
      <c r="C313" s="66" t="s">
        <v>97</v>
      </c>
      <c r="D313" s="18" t="s">
        <v>577</v>
      </c>
      <c r="F313" s="13">
        <v>2805.0000000000005</v>
      </c>
      <c r="K313" s="32"/>
    </row>
    <row r="314" spans="1:75" ht="13.5" customHeight="1">
      <c r="A314" s="7" t="s">
        <v>762</v>
      </c>
      <c r="B314" s="11" t="s">
        <v>447</v>
      </c>
      <c r="C314" s="135" t="s">
        <v>485</v>
      </c>
      <c r="D314" s="130"/>
      <c r="E314" s="11" t="s">
        <v>819</v>
      </c>
      <c r="F314" s="15">
        <v>381.5</v>
      </c>
      <c r="G314" s="15">
        <v>0</v>
      </c>
      <c r="H314" s="15">
        <f>F314*AO314</f>
        <v>0</v>
      </c>
      <c r="I314" s="15">
        <f>F314*AP314</f>
        <v>0</v>
      </c>
      <c r="J314" s="15">
        <f>F314*G314</f>
        <v>0</v>
      </c>
      <c r="K314" s="12" t="s">
        <v>406</v>
      </c>
      <c r="Z314" s="15">
        <f>IF(AQ314="5",BJ314,0)</f>
        <v>0</v>
      </c>
      <c r="AB314" s="15">
        <f>IF(AQ314="1",BH314,0)</f>
        <v>0</v>
      </c>
      <c r="AC314" s="15">
        <f>IF(AQ314="1",BI314,0)</f>
        <v>0</v>
      </c>
      <c r="AD314" s="15">
        <f>IF(AQ314="7",BH314,0)</f>
        <v>0</v>
      </c>
      <c r="AE314" s="15">
        <f>IF(AQ314="7",BI314,0)</f>
        <v>0</v>
      </c>
      <c r="AF314" s="15">
        <f>IF(AQ314="2",BH314,0)</f>
        <v>0</v>
      </c>
      <c r="AG314" s="15">
        <f>IF(AQ314="2",BI314,0)</f>
        <v>0</v>
      </c>
      <c r="AH314" s="15">
        <f>IF(AQ314="0",BJ314,0)</f>
        <v>0</v>
      </c>
      <c r="AI314" s="52" t="s">
        <v>566</v>
      </c>
      <c r="AJ314" s="15">
        <f>IF(AN314=0,J314,0)</f>
        <v>0</v>
      </c>
      <c r="AK314" s="15">
        <f>IF(AN314=12,J314,0)</f>
        <v>0</v>
      </c>
      <c r="AL314" s="15">
        <f>IF(AN314=21,J314,0)</f>
        <v>0</v>
      </c>
      <c r="AN314" s="15">
        <v>21</v>
      </c>
      <c r="AO314" s="15">
        <f>G314*0</f>
        <v>0</v>
      </c>
      <c r="AP314" s="15">
        <f>G314*(1-0)</f>
        <v>0</v>
      </c>
      <c r="AQ314" s="1" t="s">
        <v>829</v>
      </c>
      <c r="AV314" s="15">
        <f>AW314+AX314</f>
        <v>0</v>
      </c>
      <c r="AW314" s="15">
        <f>F314*AO314</f>
        <v>0</v>
      </c>
      <c r="AX314" s="15">
        <f>F314*AP314</f>
        <v>0</v>
      </c>
      <c r="AY314" s="1" t="s">
        <v>911</v>
      </c>
      <c r="AZ314" s="1" t="s">
        <v>114</v>
      </c>
      <c r="BA314" s="52" t="s">
        <v>870</v>
      </c>
      <c r="BC314" s="15">
        <f>AW314+AX314</f>
        <v>0</v>
      </c>
      <c r="BD314" s="15">
        <f>G314/(100-BE314)*100</f>
        <v>0</v>
      </c>
      <c r="BE314" s="15">
        <v>0</v>
      </c>
      <c r="BF314" s="15">
        <f>314</f>
        <v>314</v>
      </c>
      <c r="BH314" s="15">
        <f>F314*AO314</f>
        <v>0</v>
      </c>
      <c r="BI314" s="15">
        <f>F314*AP314</f>
        <v>0</v>
      </c>
      <c r="BJ314" s="15">
        <f>F314*G314</f>
        <v>0</v>
      </c>
      <c r="BK314" s="15"/>
      <c r="BL314" s="15">
        <v>94</v>
      </c>
      <c r="BW314" s="15">
        <v>21</v>
      </c>
    </row>
    <row r="315" spans="1:11" ht="15" customHeight="1">
      <c r="A315" s="53"/>
      <c r="C315" s="66" t="s">
        <v>746</v>
      </c>
      <c r="D315" s="18" t="s">
        <v>218</v>
      </c>
      <c r="F315" s="13">
        <v>381.50000000000006</v>
      </c>
      <c r="K315" s="32"/>
    </row>
    <row r="316" spans="1:75" ht="13.5" customHeight="1">
      <c r="A316" s="7" t="s">
        <v>111</v>
      </c>
      <c r="B316" s="11" t="s">
        <v>266</v>
      </c>
      <c r="C316" s="135" t="s">
        <v>22</v>
      </c>
      <c r="D316" s="130"/>
      <c r="E316" s="11" t="s">
        <v>819</v>
      </c>
      <c r="F316" s="15">
        <v>935</v>
      </c>
      <c r="G316" s="15">
        <v>0</v>
      </c>
      <c r="H316" s="15">
        <f>F316*AO316</f>
        <v>0</v>
      </c>
      <c r="I316" s="15">
        <f>F316*AP316</f>
        <v>0</v>
      </c>
      <c r="J316" s="15">
        <f>F316*G316</f>
        <v>0</v>
      </c>
      <c r="K316" s="12" t="s">
        <v>406</v>
      </c>
      <c r="Z316" s="15">
        <f>IF(AQ316="5",BJ316,0)</f>
        <v>0</v>
      </c>
      <c r="AB316" s="15">
        <f>IF(AQ316="1",BH316,0)</f>
        <v>0</v>
      </c>
      <c r="AC316" s="15">
        <f>IF(AQ316="1",BI316,0)</f>
        <v>0</v>
      </c>
      <c r="AD316" s="15">
        <f>IF(AQ316="7",BH316,0)</f>
        <v>0</v>
      </c>
      <c r="AE316" s="15">
        <f>IF(AQ316="7",BI316,0)</f>
        <v>0</v>
      </c>
      <c r="AF316" s="15">
        <f>IF(AQ316="2",BH316,0)</f>
        <v>0</v>
      </c>
      <c r="AG316" s="15">
        <f>IF(AQ316="2",BI316,0)</f>
        <v>0</v>
      </c>
      <c r="AH316" s="15">
        <f>IF(AQ316="0",BJ316,0)</f>
        <v>0</v>
      </c>
      <c r="AI316" s="52" t="s">
        <v>566</v>
      </c>
      <c r="AJ316" s="15">
        <f>IF(AN316=0,J316,0)</f>
        <v>0</v>
      </c>
      <c r="AK316" s="15">
        <f>IF(AN316=12,J316,0)</f>
        <v>0</v>
      </c>
      <c r="AL316" s="15">
        <f>IF(AN316=21,J316,0)</f>
        <v>0</v>
      </c>
      <c r="AN316" s="15">
        <v>21</v>
      </c>
      <c r="AO316" s="15">
        <f>G316*0</f>
        <v>0</v>
      </c>
      <c r="AP316" s="15">
        <f>G316*(1-0)</f>
        <v>0</v>
      </c>
      <c r="AQ316" s="1" t="s">
        <v>829</v>
      </c>
      <c r="AV316" s="15">
        <f>AW316+AX316</f>
        <v>0</v>
      </c>
      <c r="AW316" s="15">
        <f>F316*AO316</f>
        <v>0</v>
      </c>
      <c r="AX316" s="15">
        <f>F316*AP316</f>
        <v>0</v>
      </c>
      <c r="AY316" s="1" t="s">
        <v>911</v>
      </c>
      <c r="AZ316" s="1" t="s">
        <v>114</v>
      </c>
      <c r="BA316" s="52" t="s">
        <v>870</v>
      </c>
      <c r="BC316" s="15">
        <f>AW316+AX316</f>
        <v>0</v>
      </c>
      <c r="BD316" s="15">
        <f>G316/(100-BE316)*100</f>
        <v>0</v>
      </c>
      <c r="BE316" s="15">
        <v>0</v>
      </c>
      <c r="BF316" s="15">
        <f>316</f>
        <v>316</v>
      </c>
      <c r="BH316" s="15">
        <f>F316*AO316</f>
        <v>0</v>
      </c>
      <c r="BI316" s="15">
        <f>F316*AP316</f>
        <v>0</v>
      </c>
      <c r="BJ316" s="15">
        <f>F316*G316</f>
        <v>0</v>
      </c>
      <c r="BK316" s="15"/>
      <c r="BL316" s="15">
        <v>94</v>
      </c>
      <c r="BW316" s="15">
        <v>21</v>
      </c>
    </row>
    <row r="317" spans="1:11" ht="15" customHeight="1">
      <c r="A317" s="53"/>
      <c r="C317" s="66" t="s">
        <v>87</v>
      </c>
      <c r="D317" s="18" t="s">
        <v>42</v>
      </c>
      <c r="F317" s="13">
        <v>935.0000000000001</v>
      </c>
      <c r="K317" s="32"/>
    </row>
    <row r="318" spans="1:75" ht="13.5" customHeight="1">
      <c r="A318" s="7" t="s">
        <v>361</v>
      </c>
      <c r="B318" s="11" t="s">
        <v>665</v>
      </c>
      <c r="C318" s="135" t="s">
        <v>787</v>
      </c>
      <c r="D318" s="130"/>
      <c r="E318" s="11" t="s">
        <v>819</v>
      </c>
      <c r="F318" s="15">
        <v>150</v>
      </c>
      <c r="G318" s="15">
        <v>0</v>
      </c>
      <c r="H318" s="15">
        <f>F318*AO318</f>
        <v>0</v>
      </c>
      <c r="I318" s="15">
        <f>F318*AP318</f>
        <v>0</v>
      </c>
      <c r="J318" s="15">
        <f>F318*G318</f>
        <v>0</v>
      </c>
      <c r="K318" s="12" t="s">
        <v>406</v>
      </c>
      <c r="Z318" s="15">
        <f>IF(AQ318="5",BJ318,0)</f>
        <v>0</v>
      </c>
      <c r="AB318" s="15">
        <f>IF(AQ318="1",BH318,0)</f>
        <v>0</v>
      </c>
      <c r="AC318" s="15">
        <f>IF(AQ318="1",BI318,0)</f>
        <v>0</v>
      </c>
      <c r="AD318" s="15">
        <f>IF(AQ318="7",BH318,0)</f>
        <v>0</v>
      </c>
      <c r="AE318" s="15">
        <f>IF(AQ318="7",BI318,0)</f>
        <v>0</v>
      </c>
      <c r="AF318" s="15">
        <f>IF(AQ318="2",BH318,0)</f>
        <v>0</v>
      </c>
      <c r="AG318" s="15">
        <f>IF(AQ318="2",BI318,0)</f>
        <v>0</v>
      </c>
      <c r="AH318" s="15">
        <f>IF(AQ318="0",BJ318,0)</f>
        <v>0</v>
      </c>
      <c r="AI318" s="52" t="s">
        <v>566</v>
      </c>
      <c r="AJ318" s="15">
        <f>IF(AN318=0,J318,0)</f>
        <v>0</v>
      </c>
      <c r="AK318" s="15">
        <f>IF(AN318=12,J318,0)</f>
        <v>0</v>
      </c>
      <c r="AL318" s="15">
        <f>IF(AN318=21,J318,0)</f>
        <v>0</v>
      </c>
      <c r="AN318" s="15">
        <v>21</v>
      </c>
      <c r="AO318" s="15">
        <f>G318*0.401818181818182</f>
        <v>0</v>
      </c>
      <c r="AP318" s="15">
        <f>G318*(1-0.401818181818182)</f>
        <v>0</v>
      </c>
      <c r="AQ318" s="1" t="s">
        <v>829</v>
      </c>
      <c r="AV318" s="15">
        <f>AW318+AX318</f>
        <v>0</v>
      </c>
      <c r="AW318" s="15">
        <f>F318*AO318</f>
        <v>0</v>
      </c>
      <c r="AX318" s="15">
        <f>F318*AP318</f>
        <v>0</v>
      </c>
      <c r="AY318" s="1" t="s">
        <v>911</v>
      </c>
      <c r="AZ318" s="1" t="s">
        <v>114</v>
      </c>
      <c r="BA318" s="52" t="s">
        <v>870</v>
      </c>
      <c r="BC318" s="15">
        <f>AW318+AX318</f>
        <v>0</v>
      </c>
      <c r="BD318" s="15">
        <f>G318/(100-BE318)*100</f>
        <v>0</v>
      </c>
      <c r="BE318" s="15">
        <v>0</v>
      </c>
      <c r="BF318" s="15">
        <f>318</f>
        <v>318</v>
      </c>
      <c r="BH318" s="15">
        <f>F318*AO318</f>
        <v>0</v>
      </c>
      <c r="BI318" s="15">
        <f>F318*AP318</f>
        <v>0</v>
      </c>
      <c r="BJ318" s="15">
        <f>F318*G318</f>
        <v>0</v>
      </c>
      <c r="BK318" s="15"/>
      <c r="BL318" s="15">
        <v>94</v>
      </c>
      <c r="BW318" s="15">
        <v>21</v>
      </c>
    </row>
    <row r="319" spans="1:11" ht="15" customHeight="1">
      <c r="A319" s="53"/>
      <c r="C319" s="66" t="s">
        <v>375</v>
      </c>
      <c r="D319" s="18" t="s">
        <v>30</v>
      </c>
      <c r="F319" s="13">
        <v>150</v>
      </c>
      <c r="K319" s="32"/>
    </row>
    <row r="320" spans="1:47" ht="15" customHeight="1">
      <c r="A320" s="17" t="s">
        <v>577</v>
      </c>
      <c r="B320" s="20" t="s">
        <v>361</v>
      </c>
      <c r="C320" s="201" t="s">
        <v>621</v>
      </c>
      <c r="D320" s="210"/>
      <c r="E320" s="14" t="s">
        <v>774</v>
      </c>
      <c r="F320" s="14" t="s">
        <v>774</v>
      </c>
      <c r="G320" s="14" t="s">
        <v>774</v>
      </c>
      <c r="H320" s="68">
        <f>SUM(H321:H333)</f>
        <v>0</v>
      </c>
      <c r="I320" s="68">
        <f>SUM(I321:I333)</f>
        <v>0</v>
      </c>
      <c r="J320" s="68">
        <f>SUM(J321:J333)</f>
        <v>0</v>
      </c>
      <c r="K320" s="42" t="s">
        <v>577</v>
      </c>
      <c r="AI320" s="52" t="s">
        <v>566</v>
      </c>
      <c r="AS320" s="68">
        <f>SUM(AJ321:AJ333)</f>
        <v>0</v>
      </c>
      <c r="AT320" s="68">
        <f>SUM(AK321:AK333)</f>
        <v>0</v>
      </c>
      <c r="AU320" s="68">
        <f>SUM(AL321:AL333)</f>
        <v>0</v>
      </c>
    </row>
    <row r="321" spans="1:75" ht="13.5" customHeight="1">
      <c r="A321" s="7" t="s">
        <v>480</v>
      </c>
      <c r="B321" s="11" t="s">
        <v>47</v>
      </c>
      <c r="C321" s="135" t="s">
        <v>29</v>
      </c>
      <c r="D321" s="130"/>
      <c r="E321" s="11" t="s">
        <v>819</v>
      </c>
      <c r="F321" s="15">
        <v>100</v>
      </c>
      <c r="G321" s="15">
        <v>0</v>
      </c>
      <c r="H321" s="15">
        <f>F321*AO321</f>
        <v>0</v>
      </c>
      <c r="I321" s="15">
        <f>F321*AP321</f>
        <v>0</v>
      </c>
      <c r="J321" s="15">
        <f>F321*G321</f>
        <v>0</v>
      </c>
      <c r="K321" s="12" t="s">
        <v>406</v>
      </c>
      <c r="Z321" s="15">
        <f>IF(AQ321="5",BJ321,0)</f>
        <v>0</v>
      </c>
      <c r="AB321" s="15">
        <f>IF(AQ321="1",BH321,0)</f>
        <v>0</v>
      </c>
      <c r="AC321" s="15">
        <f>IF(AQ321="1",BI321,0)</f>
        <v>0</v>
      </c>
      <c r="AD321" s="15">
        <f>IF(AQ321="7",BH321,0)</f>
        <v>0</v>
      </c>
      <c r="AE321" s="15">
        <f>IF(AQ321="7",BI321,0)</f>
        <v>0</v>
      </c>
      <c r="AF321" s="15">
        <f>IF(AQ321="2",BH321,0)</f>
        <v>0</v>
      </c>
      <c r="AG321" s="15">
        <f>IF(AQ321="2",BI321,0)</f>
        <v>0</v>
      </c>
      <c r="AH321" s="15">
        <f>IF(AQ321="0",BJ321,0)</f>
        <v>0</v>
      </c>
      <c r="AI321" s="52" t="s">
        <v>566</v>
      </c>
      <c r="AJ321" s="15">
        <f>IF(AN321=0,J321,0)</f>
        <v>0</v>
      </c>
      <c r="AK321" s="15">
        <f>IF(AN321=12,J321,0)</f>
        <v>0</v>
      </c>
      <c r="AL321" s="15">
        <f>IF(AN321=21,J321,0)</f>
        <v>0</v>
      </c>
      <c r="AN321" s="15">
        <v>21</v>
      </c>
      <c r="AO321" s="15">
        <f>G321*0.525599128540305</f>
        <v>0</v>
      </c>
      <c r="AP321" s="15">
        <f>G321*(1-0.525599128540305)</f>
        <v>0</v>
      </c>
      <c r="AQ321" s="1" t="s">
        <v>829</v>
      </c>
      <c r="AV321" s="15">
        <f>AW321+AX321</f>
        <v>0</v>
      </c>
      <c r="AW321" s="15">
        <f>F321*AO321</f>
        <v>0</v>
      </c>
      <c r="AX321" s="15">
        <f>F321*AP321</f>
        <v>0</v>
      </c>
      <c r="AY321" s="1" t="s">
        <v>515</v>
      </c>
      <c r="AZ321" s="1" t="s">
        <v>114</v>
      </c>
      <c r="BA321" s="52" t="s">
        <v>870</v>
      </c>
      <c r="BC321" s="15">
        <f>AW321+AX321</f>
        <v>0</v>
      </c>
      <c r="BD321" s="15">
        <f>G321/(100-BE321)*100</f>
        <v>0</v>
      </c>
      <c r="BE321" s="15">
        <v>0</v>
      </c>
      <c r="BF321" s="15">
        <f>321</f>
        <v>321</v>
      </c>
      <c r="BH321" s="15">
        <f>F321*AO321</f>
        <v>0</v>
      </c>
      <c r="BI321" s="15">
        <f>F321*AP321</f>
        <v>0</v>
      </c>
      <c r="BJ321" s="15">
        <f>F321*G321</f>
        <v>0</v>
      </c>
      <c r="BK321" s="15"/>
      <c r="BL321" s="15">
        <v>95</v>
      </c>
      <c r="BW321" s="15">
        <v>21</v>
      </c>
    </row>
    <row r="322" spans="1:11" ht="15" customHeight="1">
      <c r="A322" s="53"/>
      <c r="C322" s="66" t="s">
        <v>691</v>
      </c>
      <c r="D322" s="18" t="s">
        <v>577</v>
      </c>
      <c r="F322" s="13">
        <v>100.00000000000001</v>
      </c>
      <c r="K322" s="32"/>
    </row>
    <row r="323" spans="1:75" ht="13.5" customHeight="1">
      <c r="A323" s="7" t="s">
        <v>109</v>
      </c>
      <c r="B323" s="11" t="s">
        <v>632</v>
      </c>
      <c r="C323" s="135" t="s">
        <v>463</v>
      </c>
      <c r="D323" s="130"/>
      <c r="E323" s="11" t="s">
        <v>819</v>
      </c>
      <c r="F323" s="15">
        <v>100</v>
      </c>
      <c r="G323" s="15">
        <v>0</v>
      </c>
      <c r="H323" s="15">
        <f>F323*AO323</f>
        <v>0</v>
      </c>
      <c r="I323" s="15">
        <f>F323*AP323</f>
        <v>0</v>
      </c>
      <c r="J323" s="15">
        <f>F323*G323</f>
        <v>0</v>
      </c>
      <c r="K323" s="12" t="s">
        <v>406</v>
      </c>
      <c r="Z323" s="15">
        <f>IF(AQ323="5",BJ323,0)</f>
        <v>0</v>
      </c>
      <c r="AB323" s="15">
        <f>IF(AQ323="1",BH323,0)</f>
        <v>0</v>
      </c>
      <c r="AC323" s="15">
        <f>IF(AQ323="1",BI323,0)</f>
        <v>0</v>
      </c>
      <c r="AD323" s="15">
        <f>IF(AQ323="7",BH323,0)</f>
        <v>0</v>
      </c>
      <c r="AE323" s="15">
        <f>IF(AQ323="7",BI323,0)</f>
        <v>0</v>
      </c>
      <c r="AF323" s="15">
        <f>IF(AQ323="2",BH323,0)</f>
        <v>0</v>
      </c>
      <c r="AG323" s="15">
        <f>IF(AQ323="2",BI323,0)</f>
        <v>0</v>
      </c>
      <c r="AH323" s="15">
        <f>IF(AQ323="0",BJ323,0)</f>
        <v>0</v>
      </c>
      <c r="AI323" s="52" t="s">
        <v>566</v>
      </c>
      <c r="AJ323" s="15">
        <f>IF(AN323=0,J323,0)</f>
        <v>0</v>
      </c>
      <c r="AK323" s="15">
        <f>IF(AN323=12,J323,0)</f>
        <v>0</v>
      </c>
      <c r="AL323" s="15">
        <f>IF(AN323=21,J323,0)</f>
        <v>0</v>
      </c>
      <c r="AN323" s="15">
        <v>21</v>
      </c>
      <c r="AO323" s="15">
        <f>G323*0.0017741935483871</f>
        <v>0</v>
      </c>
      <c r="AP323" s="15">
        <f>G323*(1-0.0017741935483871)</f>
        <v>0</v>
      </c>
      <c r="AQ323" s="1" t="s">
        <v>829</v>
      </c>
      <c r="AV323" s="15">
        <f>AW323+AX323</f>
        <v>0</v>
      </c>
      <c r="AW323" s="15">
        <f>F323*AO323</f>
        <v>0</v>
      </c>
      <c r="AX323" s="15">
        <f>F323*AP323</f>
        <v>0</v>
      </c>
      <c r="AY323" s="1" t="s">
        <v>515</v>
      </c>
      <c r="AZ323" s="1" t="s">
        <v>114</v>
      </c>
      <c r="BA323" s="52" t="s">
        <v>870</v>
      </c>
      <c r="BC323" s="15">
        <f>AW323+AX323</f>
        <v>0</v>
      </c>
      <c r="BD323" s="15">
        <f>G323/(100-BE323)*100</f>
        <v>0</v>
      </c>
      <c r="BE323" s="15">
        <v>0</v>
      </c>
      <c r="BF323" s="15">
        <f>323</f>
        <v>323</v>
      </c>
      <c r="BH323" s="15">
        <f>F323*AO323</f>
        <v>0</v>
      </c>
      <c r="BI323" s="15">
        <f>F323*AP323</f>
        <v>0</v>
      </c>
      <c r="BJ323" s="15">
        <f>F323*G323</f>
        <v>0</v>
      </c>
      <c r="BK323" s="15"/>
      <c r="BL323" s="15">
        <v>95</v>
      </c>
      <c r="BW323" s="15">
        <v>21</v>
      </c>
    </row>
    <row r="324" spans="1:11" ht="15" customHeight="1">
      <c r="A324" s="53"/>
      <c r="C324" s="66" t="s">
        <v>691</v>
      </c>
      <c r="D324" s="18" t="s">
        <v>577</v>
      </c>
      <c r="F324" s="13">
        <v>100.00000000000001</v>
      </c>
      <c r="K324" s="32"/>
    </row>
    <row r="325" spans="1:75" ht="13.5" customHeight="1">
      <c r="A325" s="7" t="s">
        <v>582</v>
      </c>
      <c r="B325" s="11" t="s">
        <v>303</v>
      </c>
      <c r="C325" s="135" t="s">
        <v>259</v>
      </c>
      <c r="D325" s="130"/>
      <c r="E325" s="11" t="s">
        <v>224</v>
      </c>
      <c r="F325" s="15">
        <v>96</v>
      </c>
      <c r="G325" s="15">
        <v>0</v>
      </c>
      <c r="H325" s="15">
        <f>F325*AO325</f>
        <v>0</v>
      </c>
      <c r="I325" s="15">
        <f>F325*AP325</f>
        <v>0</v>
      </c>
      <c r="J325" s="15">
        <f>F325*G325</f>
        <v>0</v>
      </c>
      <c r="K325" s="12" t="s">
        <v>406</v>
      </c>
      <c r="Z325" s="15">
        <f>IF(AQ325="5",BJ325,0)</f>
        <v>0</v>
      </c>
      <c r="AB325" s="15">
        <f>IF(AQ325="1",BH325,0)</f>
        <v>0</v>
      </c>
      <c r="AC325" s="15">
        <f>IF(AQ325="1",BI325,0)</f>
        <v>0</v>
      </c>
      <c r="AD325" s="15">
        <f>IF(AQ325="7",BH325,0)</f>
        <v>0</v>
      </c>
      <c r="AE325" s="15">
        <f>IF(AQ325="7",BI325,0)</f>
        <v>0</v>
      </c>
      <c r="AF325" s="15">
        <f>IF(AQ325="2",BH325,0)</f>
        <v>0</v>
      </c>
      <c r="AG325" s="15">
        <f>IF(AQ325="2",BI325,0)</f>
        <v>0</v>
      </c>
      <c r="AH325" s="15">
        <f>IF(AQ325="0",BJ325,0)</f>
        <v>0</v>
      </c>
      <c r="AI325" s="52" t="s">
        <v>566</v>
      </c>
      <c r="AJ325" s="15">
        <f>IF(AN325=0,J325,0)</f>
        <v>0</v>
      </c>
      <c r="AK325" s="15">
        <f>IF(AN325=12,J325,0)</f>
        <v>0</v>
      </c>
      <c r="AL325" s="15">
        <f>IF(AN325=21,J325,0)</f>
        <v>0</v>
      </c>
      <c r="AN325" s="15">
        <v>21</v>
      </c>
      <c r="AO325" s="15">
        <f>G325*0.547430748209184</f>
        <v>0</v>
      </c>
      <c r="AP325" s="15">
        <f>G325*(1-0.547430748209184)</f>
        <v>0</v>
      </c>
      <c r="AQ325" s="1" t="s">
        <v>829</v>
      </c>
      <c r="AV325" s="15">
        <f>AW325+AX325</f>
        <v>0</v>
      </c>
      <c r="AW325" s="15">
        <f>F325*AO325</f>
        <v>0</v>
      </c>
      <c r="AX325" s="15">
        <f>F325*AP325</f>
        <v>0</v>
      </c>
      <c r="AY325" s="1" t="s">
        <v>515</v>
      </c>
      <c r="AZ325" s="1" t="s">
        <v>114</v>
      </c>
      <c r="BA325" s="52" t="s">
        <v>870</v>
      </c>
      <c r="BC325" s="15">
        <f>AW325+AX325</f>
        <v>0</v>
      </c>
      <c r="BD325" s="15">
        <f>G325/(100-BE325)*100</f>
        <v>0</v>
      </c>
      <c r="BE325" s="15">
        <v>0</v>
      </c>
      <c r="BF325" s="15">
        <f>325</f>
        <v>325</v>
      </c>
      <c r="BH325" s="15">
        <f>F325*AO325</f>
        <v>0</v>
      </c>
      <c r="BI325" s="15">
        <f>F325*AP325</f>
        <v>0</v>
      </c>
      <c r="BJ325" s="15">
        <f>F325*G325</f>
        <v>0</v>
      </c>
      <c r="BK325" s="15"/>
      <c r="BL325" s="15">
        <v>95</v>
      </c>
      <c r="BW325" s="15">
        <v>21</v>
      </c>
    </row>
    <row r="326" spans="1:11" ht="15" customHeight="1">
      <c r="A326" s="53"/>
      <c r="C326" s="66" t="s">
        <v>260</v>
      </c>
      <c r="D326" s="18" t="s">
        <v>577</v>
      </c>
      <c r="F326" s="13">
        <v>96.00000000000001</v>
      </c>
      <c r="K326" s="32"/>
    </row>
    <row r="327" spans="1:75" ht="13.5" customHeight="1">
      <c r="A327" s="73" t="s">
        <v>419</v>
      </c>
      <c r="B327" s="24" t="s">
        <v>682</v>
      </c>
      <c r="C327" s="204" t="s">
        <v>112</v>
      </c>
      <c r="D327" s="213"/>
      <c r="E327" s="24" t="s">
        <v>695</v>
      </c>
      <c r="F327" s="74">
        <v>28.8</v>
      </c>
      <c r="G327" s="74">
        <v>0</v>
      </c>
      <c r="H327" s="74">
        <f>F327*AO327</f>
        <v>0</v>
      </c>
      <c r="I327" s="74">
        <f>F327*AP327</f>
        <v>0</v>
      </c>
      <c r="J327" s="74">
        <f>F327*G327</f>
        <v>0</v>
      </c>
      <c r="K327" s="16" t="s">
        <v>406</v>
      </c>
      <c r="Z327" s="15">
        <f>IF(AQ327="5",BJ327,0)</f>
        <v>0</v>
      </c>
      <c r="AB327" s="15">
        <f>IF(AQ327="1",BH327,0)</f>
        <v>0</v>
      </c>
      <c r="AC327" s="15">
        <f>IF(AQ327="1",BI327,0)</f>
        <v>0</v>
      </c>
      <c r="AD327" s="15">
        <f>IF(AQ327="7",BH327,0)</f>
        <v>0</v>
      </c>
      <c r="AE327" s="15">
        <f>IF(AQ327="7",BI327,0)</f>
        <v>0</v>
      </c>
      <c r="AF327" s="15">
        <f>IF(AQ327="2",BH327,0)</f>
        <v>0</v>
      </c>
      <c r="AG327" s="15">
        <f>IF(AQ327="2",BI327,0)</f>
        <v>0</v>
      </c>
      <c r="AH327" s="15">
        <f>IF(AQ327="0",BJ327,0)</f>
        <v>0</v>
      </c>
      <c r="AI327" s="52" t="s">
        <v>566</v>
      </c>
      <c r="AJ327" s="74">
        <f>IF(AN327=0,J327,0)</f>
        <v>0</v>
      </c>
      <c r="AK327" s="74">
        <f>IF(AN327=12,J327,0)</f>
        <v>0</v>
      </c>
      <c r="AL327" s="74">
        <f>IF(AN327=21,J327,0)</f>
        <v>0</v>
      </c>
      <c r="AN327" s="15">
        <v>21</v>
      </c>
      <c r="AO327" s="15">
        <f>G327*1</f>
        <v>0</v>
      </c>
      <c r="AP327" s="15">
        <f>G327*(1-1)</f>
        <v>0</v>
      </c>
      <c r="AQ327" s="10" t="s">
        <v>829</v>
      </c>
      <c r="AV327" s="15">
        <f>AW327+AX327</f>
        <v>0</v>
      </c>
      <c r="AW327" s="15">
        <f>F327*AO327</f>
        <v>0</v>
      </c>
      <c r="AX327" s="15">
        <f>F327*AP327</f>
        <v>0</v>
      </c>
      <c r="AY327" s="1" t="s">
        <v>515</v>
      </c>
      <c r="AZ327" s="1" t="s">
        <v>114</v>
      </c>
      <c r="BA327" s="52" t="s">
        <v>870</v>
      </c>
      <c r="BC327" s="15">
        <f>AW327+AX327</f>
        <v>0</v>
      </c>
      <c r="BD327" s="15">
        <f>G327/(100-BE327)*100</f>
        <v>0</v>
      </c>
      <c r="BE327" s="15">
        <v>0</v>
      </c>
      <c r="BF327" s="15">
        <f>327</f>
        <v>327</v>
      </c>
      <c r="BH327" s="74">
        <f>F327*AO327</f>
        <v>0</v>
      </c>
      <c r="BI327" s="74">
        <f>F327*AP327</f>
        <v>0</v>
      </c>
      <c r="BJ327" s="74">
        <f>F327*G327</f>
        <v>0</v>
      </c>
      <c r="BK327" s="74"/>
      <c r="BL327" s="15">
        <v>95</v>
      </c>
      <c r="BW327" s="15">
        <v>21</v>
      </c>
    </row>
    <row r="328" spans="1:11" ht="15" customHeight="1">
      <c r="A328" s="53"/>
      <c r="C328" s="66" t="s">
        <v>238</v>
      </c>
      <c r="D328" s="18" t="s">
        <v>577</v>
      </c>
      <c r="F328" s="13">
        <v>28.8</v>
      </c>
      <c r="K328" s="32"/>
    </row>
    <row r="329" spans="1:75" ht="13.5" customHeight="1">
      <c r="A329" s="7" t="s">
        <v>691</v>
      </c>
      <c r="B329" s="11" t="s">
        <v>53</v>
      </c>
      <c r="C329" s="135" t="s">
        <v>80</v>
      </c>
      <c r="D329" s="130"/>
      <c r="E329" s="11" t="s">
        <v>819</v>
      </c>
      <c r="F329" s="15">
        <v>37.77</v>
      </c>
      <c r="G329" s="15">
        <v>0</v>
      </c>
      <c r="H329" s="15">
        <f>F329*AO329</f>
        <v>0</v>
      </c>
      <c r="I329" s="15">
        <f>F329*AP329</f>
        <v>0</v>
      </c>
      <c r="J329" s="15">
        <f>F329*G329</f>
        <v>0</v>
      </c>
      <c r="K329" s="12" t="s">
        <v>406</v>
      </c>
      <c r="Z329" s="15">
        <f>IF(AQ329="5",BJ329,0)</f>
        <v>0</v>
      </c>
      <c r="AB329" s="15">
        <f>IF(AQ329="1",BH329,0)</f>
        <v>0</v>
      </c>
      <c r="AC329" s="15">
        <f>IF(AQ329="1",BI329,0)</f>
        <v>0</v>
      </c>
      <c r="AD329" s="15">
        <f>IF(AQ329="7",BH329,0)</f>
        <v>0</v>
      </c>
      <c r="AE329" s="15">
        <f>IF(AQ329="7",BI329,0)</f>
        <v>0</v>
      </c>
      <c r="AF329" s="15">
        <f>IF(AQ329="2",BH329,0)</f>
        <v>0</v>
      </c>
      <c r="AG329" s="15">
        <f>IF(AQ329="2",BI329,0)</f>
        <v>0</v>
      </c>
      <c r="AH329" s="15">
        <f>IF(AQ329="0",BJ329,0)</f>
        <v>0</v>
      </c>
      <c r="AI329" s="52" t="s">
        <v>566</v>
      </c>
      <c r="AJ329" s="15">
        <f>IF(AN329=0,J329,0)</f>
        <v>0</v>
      </c>
      <c r="AK329" s="15">
        <f>IF(AN329=12,J329,0)</f>
        <v>0</v>
      </c>
      <c r="AL329" s="15">
        <f>IF(AN329=21,J329,0)</f>
        <v>0</v>
      </c>
      <c r="AN329" s="15">
        <v>21</v>
      </c>
      <c r="AO329" s="15">
        <f>G329*0.0222935484447942</f>
        <v>0</v>
      </c>
      <c r="AP329" s="15">
        <f>G329*(1-0.0222935484447942)</f>
        <v>0</v>
      </c>
      <c r="AQ329" s="1" t="s">
        <v>829</v>
      </c>
      <c r="AV329" s="15">
        <f>AW329+AX329</f>
        <v>0</v>
      </c>
      <c r="AW329" s="15">
        <f>F329*AO329</f>
        <v>0</v>
      </c>
      <c r="AX329" s="15">
        <f>F329*AP329</f>
        <v>0</v>
      </c>
      <c r="AY329" s="1" t="s">
        <v>515</v>
      </c>
      <c r="AZ329" s="1" t="s">
        <v>114</v>
      </c>
      <c r="BA329" s="52" t="s">
        <v>870</v>
      </c>
      <c r="BC329" s="15">
        <f>AW329+AX329</f>
        <v>0</v>
      </c>
      <c r="BD329" s="15">
        <f>G329/(100-BE329)*100</f>
        <v>0</v>
      </c>
      <c r="BE329" s="15">
        <v>0</v>
      </c>
      <c r="BF329" s="15">
        <f>329</f>
        <v>329</v>
      </c>
      <c r="BH329" s="15">
        <f>F329*AO329</f>
        <v>0</v>
      </c>
      <c r="BI329" s="15">
        <f>F329*AP329</f>
        <v>0</v>
      </c>
      <c r="BJ329" s="15">
        <f>F329*G329</f>
        <v>0</v>
      </c>
      <c r="BK329" s="15"/>
      <c r="BL329" s="15">
        <v>95</v>
      </c>
      <c r="BW329" s="15">
        <v>21</v>
      </c>
    </row>
    <row r="330" spans="1:11" ht="15" customHeight="1">
      <c r="A330" s="53"/>
      <c r="C330" s="66" t="s">
        <v>863</v>
      </c>
      <c r="D330" s="18" t="s">
        <v>771</v>
      </c>
      <c r="F330" s="13">
        <v>37.77</v>
      </c>
      <c r="K330" s="32"/>
    </row>
    <row r="331" spans="1:75" ht="13.5" customHeight="1">
      <c r="A331" s="7" t="s">
        <v>767</v>
      </c>
      <c r="B331" s="11" t="s">
        <v>346</v>
      </c>
      <c r="C331" s="135" t="s">
        <v>339</v>
      </c>
      <c r="D331" s="130"/>
      <c r="E331" s="11" t="s">
        <v>819</v>
      </c>
      <c r="F331" s="15">
        <v>100</v>
      </c>
      <c r="G331" s="15">
        <v>0</v>
      </c>
      <c r="H331" s="15">
        <f>F331*AO331</f>
        <v>0</v>
      </c>
      <c r="I331" s="15">
        <f>F331*AP331</f>
        <v>0</v>
      </c>
      <c r="J331" s="15">
        <f>F331*G331</f>
        <v>0</v>
      </c>
      <c r="K331" s="12" t="s">
        <v>406</v>
      </c>
      <c r="Z331" s="15">
        <f>IF(AQ331="5",BJ331,0)</f>
        <v>0</v>
      </c>
      <c r="AB331" s="15">
        <f>IF(AQ331="1",BH331,0)</f>
        <v>0</v>
      </c>
      <c r="AC331" s="15">
        <f>IF(AQ331="1",BI331,0)</f>
        <v>0</v>
      </c>
      <c r="AD331" s="15">
        <f>IF(AQ331="7",BH331,0)</f>
        <v>0</v>
      </c>
      <c r="AE331" s="15">
        <f>IF(AQ331="7",BI331,0)</f>
        <v>0</v>
      </c>
      <c r="AF331" s="15">
        <f>IF(AQ331="2",BH331,0)</f>
        <v>0</v>
      </c>
      <c r="AG331" s="15">
        <f>IF(AQ331="2",BI331,0)</f>
        <v>0</v>
      </c>
      <c r="AH331" s="15">
        <f>IF(AQ331="0",BJ331,0)</f>
        <v>0</v>
      </c>
      <c r="AI331" s="52" t="s">
        <v>566</v>
      </c>
      <c r="AJ331" s="15">
        <f>IF(AN331=0,J331,0)</f>
        <v>0</v>
      </c>
      <c r="AK331" s="15">
        <f>IF(AN331=12,J331,0)</f>
        <v>0</v>
      </c>
      <c r="AL331" s="15">
        <f>IF(AN331=21,J331,0)</f>
        <v>0</v>
      </c>
      <c r="AN331" s="15">
        <v>21</v>
      </c>
      <c r="AO331" s="15">
        <f>G331*0.0121003134796238</f>
        <v>0</v>
      </c>
      <c r="AP331" s="15">
        <f>G331*(1-0.0121003134796238)</f>
        <v>0</v>
      </c>
      <c r="AQ331" s="1" t="s">
        <v>829</v>
      </c>
      <c r="AV331" s="15">
        <f>AW331+AX331</f>
        <v>0</v>
      </c>
      <c r="AW331" s="15">
        <f>F331*AO331</f>
        <v>0</v>
      </c>
      <c r="AX331" s="15">
        <f>F331*AP331</f>
        <v>0</v>
      </c>
      <c r="AY331" s="1" t="s">
        <v>515</v>
      </c>
      <c r="AZ331" s="1" t="s">
        <v>114</v>
      </c>
      <c r="BA331" s="52" t="s">
        <v>870</v>
      </c>
      <c r="BC331" s="15">
        <f>AW331+AX331</f>
        <v>0</v>
      </c>
      <c r="BD331" s="15">
        <f>G331/(100-BE331)*100</f>
        <v>0</v>
      </c>
      <c r="BE331" s="15">
        <v>0</v>
      </c>
      <c r="BF331" s="15">
        <f>331</f>
        <v>331</v>
      </c>
      <c r="BH331" s="15">
        <f>F331*AO331</f>
        <v>0</v>
      </c>
      <c r="BI331" s="15">
        <f>F331*AP331</f>
        <v>0</v>
      </c>
      <c r="BJ331" s="15">
        <f>F331*G331</f>
        <v>0</v>
      </c>
      <c r="BK331" s="15"/>
      <c r="BL331" s="15">
        <v>95</v>
      </c>
      <c r="BW331" s="15">
        <v>21</v>
      </c>
    </row>
    <row r="332" spans="1:11" ht="15" customHeight="1">
      <c r="A332" s="53"/>
      <c r="C332" s="66" t="s">
        <v>691</v>
      </c>
      <c r="D332" s="18" t="s">
        <v>577</v>
      </c>
      <c r="F332" s="13">
        <v>100.00000000000001</v>
      </c>
      <c r="K332" s="32"/>
    </row>
    <row r="333" spans="1:75" ht="13.5" customHeight="1">
      <c r="A333" s="7" t="s">
        <v>728</v>
      </c>
      <c r="B333" s="11" t="s">
        <v>511</v>
      </c>
      <c r="C333" s="135" t="s">
        <v>726</v>
      </c>
      <c r="D333" s="130"/>
      <c r="E333" s="11" t="s">
        <v>819</v>
      </c>
      <c r="F333" s="15">
        <v>100</v>
      </c>
      <c r="G333" s="15">
        <v>0</v>
      </c>
      <c r="H333" s="15">
        <f>F333*AO333</f>
        <v>0</v>
      </c>
      <c r="I333" s="15">
        <f>F333*AP333</f>
        <v>0</v>
      </c>
      <c r="J333" s="15">
        <f>F333*G333</f>
        <v>0</v>
      </c>
      <c r="K333" s="12" t="s">
        <v>406</v>
      </c>
      <c r="Z333" s="15">
        <f>IF(AQ333="5",BJ333,0)</f>
        <v>0</v>
      </c>
      <c r="AB333" s="15">
        <f>IF(AQ333="1",BH333,0)</f>
        <v>0</v>
      </c>
      <c r="AC333" s="15">
        <f>IF(AQ333="1",BI333,0)</f>
        <v>0</v>
      </c>
      <c r="AD333" s="15">
        <f>IF(AQ333="7",BH333,0)</f>
        <v>0</v>
      </c>
      <c r="AE333" s="15">
        <f>IF(AQ333="7",BI333,0)</f>
        <v>0</v>
      </c>
      <c r="AF333" s="15">
        <f>IF(AQ333="2",BH333,0)</f>
        <v>0</v>
      </c>
      <c r="AG333" s="15">
        <f>IF(AQ333="2",BI333,0)</f>
        <v>0</v>
      </c>
      <c r="AH333" s="15">
        <f>IF(AQ333="0",BJ333,0)</f>
        <v>0</v>
      </c>
      <c r="AI333" s="52" t="s">
        <v>566</v>
      </c>
      <c r="AJ333" s="15">
        <f>IF(AN333=0,J333,0)</f>
        <v>0</v>
      </c>
      <c r="AK333" s="15">
        <f>IF(AN333=12,J333,0)</f>
        <v>0</v>
      </c>
      <c r="AL333" s="15">
        <f>IF(AN333=21,J333,0)</f>
        <v>0</v>
      </c>
      <c r="AN333" s="15">
        <v>21</v>
      </c>
      <c r="AO333" s="15">
        <f>G333*0</f>
        <v>0</v>
      </c>
      <c r="AP333" s="15">
        <f>G333*(1-0)</f>
        <v>0</v>
      </c>
      <c r="AQ333" s="1" t="s">
        <v>829</v>
      </c>
      <c r="AV333" s="15">
        <f>AW333+AX333</f>
        <v>0</v>
      </c>
      <c r="AW333" s="15">
        <f>F333*AO333</f>
        <v>0</v>
      </c>
      <c r="AX333" s="15">
        <f>F333*AP333</f>
        <v>0</v>
      </c>
      <c r="AY333" s="1" t="s">
        <v>515</v>
      </c>
      <c r="AZ333" s="1" t="s">
        <v>114</v>
      </c>
      <c r="BA333" s="52" t="s">
        <v>870</v>
      </c>
      <c r="BC333" s="15">
        <f>AW333+AX333</f>
        <v>0</v>
      </c>
      <c r="BD333" s="15">
        <f>G333/(100-BE333)*100</f>
        <v>0</v>
      </c>
      <c r="BE333" s="15">
        <v>0</v>
      </c>
      <c r="BF333" s="15">
        <f>333</f>
        <v>333</v>
      </c>
      <c r="BH333" s="15">
        <f>F333*AO333</f>
        <v>0</v>
      </c>
      <c r="BI333" s="15">
        <f>F333*AP333</f>
        <v>0</v>
      </c>
      <c r="BJ333" s="15">
        <f>F333*G333</f>
        <v>0</v>
      </c>
      <c r="BK333" s="15"/>
      <c r="BL333" s="15">
        <v>95</v>
      </c>
      <c r="BW333" s="15">
        <v>21</v>
      </c>
    </row>
    <row r="334" spans="1:11" ht="15" customHeight="1">
      <c r="A334" s="53"/>
      <c r="C334" s="66" t="s">
        <v>691</v>
      </c>
      <c r="D334" s="18" t="s">
        <v>577</v>
      </c>
      <c r="F334" s="13">
        <v>100.00000000000001</v>
      </c>
      <c r="K334" s="32"/>
    </row>
    <row r="335" spans="1:47" ht="15" customHeight="1">
      <c r="A335" s="17" t="s">
        <v>577</v>
      </c>
      <c r="B335" s="20" t="s">
        <v>480</v>
      </c>
      <c r="C335" s="201" t="s">
        <v>623</v>
      </c>
      <c r="D335" s="210"/>
      <c r="E335" s="14" t="s">
        <v>774</v>
      </c>
      <c r="F335" s="14" t="s">
        <v>774</v>
      </c>
      <c r="G335" s="14" t="s">
        <v>774</v>
      </c>
      <c r="H335" s="68">
        <f>SUM(H336:H339)</f>
        <v>0</v>
      </c>
      <c r="I335" s="68">
        <f>SUM(I336:I339)</f>
        <v>0</v>
      </c>
      <c r="J335" s="68">
        <f>SUM(J336:J339)</f>
        <v>0</v>
      </c>
      <c r="K335" s="42" t="s">
        <v>577</v>
      </c>
      <c r="AI335" s="52" t="s">
        <v>566</v>
      </c>
      <c r="AS335" s="68">
        <f>SUM(AJ336:AJ339)</f>
        <v>0</v>
      </c>
      <c r="AT335" s="68">
        <f>SUM(AK336:AK339)</f>
        <v>0</v>
      </c>
      <c r="AU335" s="68">
        <f>SUM(AL336:AL339)</f>
        <v>0</v>
      </c>
    </row>
    <row r="336" spans="1:75" ht="13.5" customHeight="1">
      <c r="A336" s="7" t="s">
        <v>27</v>
      </c>
      <c r="B336" s="11" t="s">
        <v>479</v>
      </c>
      <c r="C336" s="135" t="s">
        <v>637</v>
      </c>
      <c r="D336" s="130"/>
      <c r="E336" s="11" t="s">
        <v>224</v>
      </c>
      <c r="F336" s="15">
        <v>10</v>
      </c>
      <c r="G336" s="15">
        <v>0</v>
      </c>
      <c r="H336" s="15">
        <f>F336*AO336</f>
        <v>0</v>
      </c>
      <c r="I336" s="15">
        <f>F336*AP336</f>
        <v>0</v>
      </c>
      <c r="J336" s="15">
        <f>F336*G336</f>
        <v>0</v>
      </c>
      <c r="K336" s="12" t="s">
        <v>406</v>
      </c>
      <c r="Z336" s="15">
        <f>IF(AQ336="5",BJ336,0)</f>
        <v>0</v>
      </c>
      <c r="AB336" s="15">
        <f>IF(AQ336="1",BH336,0)</f>
        <v>0</v>
      </c>
      <c r="AC336" s="15">
        <f>IF(AQ336="1",BI336,0)</f>
        <v>0</v>
      </c>
      <c r="AD336" s="15">
        <f>IF(AQ336="7",BH336,0)</f>
        <v>0</v>
      </c>
      <c r="AE336" s="15">
        <f>IF(AQ336="7",BI336,0)</f>
        <v>0</v>
      </c>
      <c r="AF336" s="15">
        <f>IF(AQ336="2",BH336,0)</f>
        <v>0</v>
      </c>
      <c r="AG336" s="15">
        <f>IF(AQ336="2",BI336,0)</f>
        <v>0</v>
      </c>
      <c r="AH336" s="15">
        <f>IF(AQ336="0",BJ336,0)</f>
        <v>0</v>
      </c>
      <c r="AI336" s="52" t="s">
        <v>566</v>
      </c>
      <c r="AJ336" s="15">
        <f>IF(AN336=0,J336,0)</f>
        <v>0</v>
      </c>
      <c r="AK336" s="15">
        <f>IF(AN336=12,J336,0)</f>
        <v>0</v>
      </c>
      <c r="AL336" s="15">
        <f>IF(AN336=21,J336,0)</f>
        <v>0</v>
      </c>
      <c r="AN336" s="15">
        <v>21</v>
      </c>
      <c r="AO336" s="15">
        <f>G336*0.0811168384879725</f>
        <v>0</v>
      </c>
      <c r="AP336" s="15">
        <f>G336*(1-0.0811168384879725)</f>
        <v>0</v>
      </c>
      <c r="AQ336" s="1" t="s">
        <v>829</v>
      </c>
      <c r="AV336" s="15">
        <f>AW336+AX336</f>
        <v>0</v>
      </c>
      <c r="AW336" s="15">
        <f>F336*AO336</f>
        <v>0</v>
      </c>
      <c r="AX336" s="15">
        <f>F336*AP336</f>
        <v>0</v>
      </c>
      <c r="AY336" s="1" t="s">
        <v>735</v>
      </c>
      <c r="AZ336" s="1" t="s">
        <v>114</v>
      </c>
      <c r="BA336" s="52" t="s">
        <v>870</v>
      </c>
      <c r="BC336" s="15">
        <f>AW336+AX336</f>
        <v>0</v>
      </c>
      <c r="BD336" s="15">
        <f>G336/(100-BE336)*100</f>
        <v>0</v>
      </c>
      <c r="BE336" s="15">
        <v>0</v>
      </c>
      <c r="BF336" s="15">
        <f>336</f>
        <v>336</v>
      </c>
      <c r="BH336" s="15">
        <f>F336*AO336</f>
        <v>0</v>
      </c>
      <c r="BI336" s="15">
        <f>F336*AP336</f>
        <v>0</v>
      </c>
      <c r="BJ336" s="15">
        <f>F336*G336</f>
        <v>0</v>
      </c>
      <c r="BK336" s="15"/>
      <c r="BL336" s="15">
        <v>96</v>
      </c>
      <c r="BW336" s="15">
        <v>21</v>
      </c>
    </row>
    <row r="337" spans="1:11" ht="15" customHeight="1">
      <c r="A337" s="53"/>
      <c r="C337" s="66" t="s">
        <v>565</v>
      </c>
      <c r="D337" s="18" t="s">
        <v>577</v>
      </c>
      <c r="F337" s="13">
        <v>0</v>
      </c>
      <c r="K337" s="32"/>
    </row>
    <row r="338" spans="1:11" ht="15" customHeight="1">
      <c r="A338" s="53"/>
      <c r="C338" s="66" t="s">
        <v>493</v>
      </c>
      <c r="D338" s="18" t="s">
        <v>813</v>
      </c>
      <c r="F338" s="13">
        <v>10</v>
      </c>
      <c r="K338" s="32"/>
    </row>
    <row r="339" spans="1:75" ht="13.5" customHeight="1">
      <c r="A339" s="7" t="s">
        <v>358</v>
      </c>
      <c r="B339" s="11" t="s">
        <v>903</v>
      </c>
      <c r="C339" s="135" t="s">
        <v>490</v>
      </c>
      <c r="D339" s="130"/>
      <c r="E339" s="11" t="s">
        <v>807</v>
      </c>
      <c r="F339" s="15">
        <v>19.98</v>
      </c>
      <c r="G339" s="15">
        <v>0</v>
      </c>
      <c r="H339" s="15">
        <f>F339*AO339</f>
        <v>0</v>
      </c>
      <c r="I339" s="15">
        <f>F339*AP339</f>
        <v>0</v>
      </c>
      <c r="J339" s="15">
        <f>F339*G339</f>
        <v>0</v>
      </c>
      <c r="K339" s="12" t="s">
        <v>406</v>
      </c>
      <c r="Z339" s="15">
        <f>IF(AQ339="5",BJ339,0)</f>
        <v>0</v>
      </c>
      <c r="AB339" s="15">
        <f>IF(AQ339="1",BH339,0)</f>
        <v>0</v>
      </c>
      <c r="AC339" s="15">
        <f>IF(AQ339="1",BI339,0)</f>
        <v>0</v>
      </c>
      <c r="AD339" s="15">
        <f>IF(AQ339="7",BH339,0)</f>
        <v>0</v>
      </c>
      <c r="AE339" s="15">
        <f>IF(AQ339="7",BI339,0)</f>
        <v>0</v>
      </c>
      <c r="AF339" s="15">
        <f>IF(AQ339="2",BH339,0)</f>
        <v>0</v>
      </c>
      <c r="AG339" s="15">
        <f>IF(AQ339="2",BI339,0)</f>
        <v>0</v>
      </c>
      <c r="AH339" s="15">
        <f>IF(AQ339="0",BJ339,0)</f>
        <v>0</v>
      </c>
      <c r="AI339" s="52" t="s">
        <v>566</v>
      </c>
      <c r="AJ339" s="15">
        <f>IF(AN339=0,J339,0)</f>
        <v>0</v>
      </c>
      <c r="AK339" s="15">
        <f>IF(AN339=12,J339,0)</f>
        <v>0</v>
      </c>
      <c r="AL339" s="15">
        <f>IF(AN339=21,J339,0)</f>
        <v>0</v>
      </c>
      <c r="AN339" s="15">
        <v>21</v>
      </c>
      <c r="AO339" s="15">
        <f>G339*0.0392526315789474</f>
        <v>0</v>
      </c>
      <c r="AP339" s="15">
        <f>G339*(1-0.0392526315789474)</f>
        <v>0</v>
      </c>
      <c r="AQ339" s="1" t="s">
        <v>829</v>
      </c>
      <c r="AV339" s="15">
        <f>AW339+AX339</f>
        <v>0</v>
      </c>
      <c r="AW339" s="15">
        <f>F339*AO339</f>
        <v>0</v>
      </c>
      <c r="AX339" s="15">
        <f>F339*AP339</f>
        <v>0</v>
      </c>
      <c r="AY339" s="1" t="s">
        <v>735</v>
      </c>
      <c r="AZ339" s="1" t="s">
        <v>114</v>
      </c>
      <c r="BA339" s="52" t="s">
        <v>870</v>
      </c>
      <c r="BC339" s="15">
        <f>AW339+AX339</f>
        <v>0</v>
      </c>
      <c r="BD339" s="15">
        <f>G339/(100-BE339)*100</f>
        <v>0</v>
      </c>
      <c r="BE339" s="15">
        <v>0</v>
      </c>
      <c r="BF339" s="15">
        <f>339</f>
        <v>339</v>
      </c>
      <c r="BH339" s="15">
        <f>F339*AO339</f>
        <v>0</v>
      </c>
      <c r="BI339" s="15">
        <f>F339*AP339</f>
        <v>0</v>
      </c>
      <c r="BJ339" s="15">
        <f>F339*G339</f>
        <v>0</v>
      </c>
      <c r="BK339" s="15"/>
      <c r="BL339" s="15">
        <v>96</v>
      </c>
      <c r="BW339" s="15">
        <v>21</v>
      </c>
    </row>
    <row r="340" spans="1:11" ht="15" customHeight="1">
      <c r="A340" s="53"/>
      <c r="C340" s="66" t="s">
        <v>142</v>
      </c>
      <c r="D340" s="18" t="s">
        <v>121</v>
      </c>
      <c r="F340" s="13">
        <v>6.670000000000001</v>
      </c>
      <c r="K340" s="32"/>
    </row>
    <row r="341" spans="1:11" ht="15" customHeight="1">
      <c r="A341" s="53"/>
      <c r="C341" s="66" t="s">
        <v>712</v>
      </c>
      <c r="D341" s="18" t="s">
        <v>467</v>
      </c>
      <c r="F341" s="13">
        <v>1.4300000000000002</v>
      </c>
      <c r="K341" s="32"/>
    </row>
    <row r="342" spans="1:11" ht="15" customHeight="1">
      <c r="A342" s="53"/>
      <c r="C342" s="66" t="s">
        <v>563</v>
      </c>
      <c r="D342" s="18" t="s">
        <v>323</v>
      </c>
      <c r="F342" s="13">
        <v>11.88</v>
      </c>
      <c r="K342" s="32"/>
    </row>
    <row r="343" spans="1:47" ht="15" customHeight="1">
      <c r="A343" s="17" t="s">
        <v>577</v>
      </c>
      <c r="B343" s="20" t="s">
        <v>109</v>
      </c>
      <c r="C343" s="201" t="s">
        <v>917</v>
      </c>
      <c r="D343" s="210"/>
      <c r="E343" s="14" t="s">
        <v>774</v>
      </c>
      <c r="F343" s="14" t="s">
        <v>774</v>
      </c>
      <c r="G343" s="14" t="s">
        <v>774</v>
      </c>
      <c r="H343" s="68">
        <f>SUM(H344:H347)</f>
        <v>0</v>
      </c>
      <c r="I343" s="68">
        <f>SUM(I344:I347)</f>
        <v>0</v>
      </c>
      <c r="J343" s="68">
        <f>SUM(J344:J347)</f>
        <v>0</v>
      </c>
      <c r="K343" s="42" t="s">
        <v>577</v>
      </c>
      <c r="AI343" s="52" t="s">
        <v>566</v>
      </c>
      <c r="AS343" s="68">
        <f>SUM(AJ344:AJ347)</f>
        <v>0</v>
      </c>
      <c r="AT343" s="68">
        <f>SUM(AK344:AK347)</f>
        <v>0</v>
      </c>
      <c r="AU343" s="68">
        <f>SUM(AL344:AL347)</f>
        <v>0</v>
      </c>
    </row>
    <row r="344" spans="1:75" ht="13.5" customHeight="1">
      <c r="A344" s="7" t="s">
        <v>124</v>
      </c>
      <c r="B344" s="11" t="s">
        <v>837</v>
      </c>
      <c r="C344" s="135" t="s">
        <v>856</v>
      </c>
      <c r="D344" s="130"/>
      <c r="E344" s="11" t="s">
        <v>819</v>
      </c>
      <c r="F344" s="15">
        <v>10</v>
      </c>
      <c r="G344" s="15">
        <v>0</v>
      </c>
      <c r="H344" s="15">
        <f>F344*AO344</f>
        <v>0</v>
      </c>
      <c r="I344" s="15">
        <f>F344*AP344</f>
        <v>0</v>
      </c>
      <c r="J344" s="15">
        <f>F344*G344</f>
        <v>0</v>
      </c>
      <c r="K344" s="12" t="s">
        <v>406</v>
      </c>
      <c r="Z344" s="15">
        <f>IF(AQ344="5",BJ344,0)</f>
        <v>0</v>
      </c>
      <c r="AB344" s="15">
        <f>IF(AQ344="1",BH344,0)</f>
        <v>0</v>
      </c>
      <c r="AC344" s="15">
        <f>IF(AQ344="1",BI344,0)</f>
        <v>0</v>
      </c>
      <c r="AD344" s="15">
        <f>IF(AQ344="7",BH344,0)</f>
        <v>0</v>
      </c>
      <c r="AE344" s="15">
        <f>IF(AQ344="7",BI344,0)</f>
        <v>0</v>
      </c>
      <c r="AF344" s="15">
        <f>IF(AQ344="2",BH344,0)</f>
        <v>0</v>
      </c>
      <c r="AG344" s="15">
        <f>IF(AQ344="2",BI344,0)</f>
        <v>0</v>
      </c>
      <c r="AH344" s="15">
        <f>IF(AQ344="0",BJ344,0)</f>
        <v>0</v>
      </c>
      <c r="AI344" s="52" t="s">
        <v>566</v>
      </c>
      <c r="AJ344" s="15">
        <f>IF(AN344=0,J344,0)</f>
        <v>0</v>
      </c>
      <c r="AK344" s="15">
        <f>IF(AN344=12,J344,0)</f>
        <v>0</v>
      </c>
      <c r="AL344" s="15">
        <f>IF(AN344=21,J344,0)</f>
        <v>0</v>
      </c>
      <c r="AN344" s="15">
        <v>21</v>
      </c>
      <c r="AO344" s="15">
        <f>G344*0</f>
        <v>0</v>
      </c>
      <c r="AP344" s="15">
        <f>G344*(1-0)</f>
        <v>0</v>
      </c>
      <c r="AQ344" s="1" t="s">
        <v>829</v>
      </c>
      <c r="AV344" s="15">
        <f>AW344+AX344</f>
        <v>0</v>
      </c>
      <c r="AW344" s="15">
        <f>F344*AO344</f>
        <v>0</v>
      </c>
      <c r="AX344" s="15">
        <f>F344*AP344</f>
        <v>0</v>
      </c>
      <c r="AY344" s="1" t="s">
        <v>292</v>
      </c>
      <c r="AZ344" s="1" t="s">
        <v>114</v>
      </c>
      <c r="BA344" s="52" t="s">
        <v>870</v>
      </c>
      <c r="BC344" s="15">
        <f>AW344+AX344</f>
        <v>0</v>
      </c>
      <c r="BD344" s="15">
        <f>G344/(100-BE344)*100</f>
        <v>0</v>
      </c>
      <c r="BE344" s="15">
        <v>0</v>
      </c>
      <c r="BF344" s="15">
        <f>344</f>
        <v>344</v>
      </c>
      <c r="BH344" s="15">
        <f>F344*AO344</f>
        <v>0</v>
      </c>
      <c r="BI344" s="15">
        <f>F344*AP344</f>
        <v>0</v>
      </c>
      <c r="BJ344" s="15">
        <f>F344*G344</f>
        <v>0</v>
      </c>
      <c r="BK344" s="15"/>
      <c r="BL344" s="15">
        <v>97</v>
      </c>
      <c r="BW344" s="15">
        <v>21</v>
      </c>
    </row>
    <row r="345" spans="1:11" ht="15" customHeight="1">
      <c r="A345" s="53"/>
      <c r="C345" s="66" t="s">
        <v>128</v>
      </c>
      <c r="D345" s="18" t="s">
        <v>577</v>
      </c>
      <c r="F345" s="13">
        <v>0</v>
      </c>
      <c r="K345" s="32"/>
    </row>
    <row r="346" spans="1:11" ht="15" customHeight="1">
      <c r="A346" s="53"/>
      <c r="C346" s="66" t="s">
        <v>493</v>
      </c>
      <c r="D346" s="18" t="s">
        <v>867</v>
      </c>
      <c r="F346" s="13">
        <v>10</v>
      </c>
      <c r="K346" s="32"/>
    </row>
    <row r="347" spans="1:75" ht="13.5" customHeight="1">
      <c r="A347" s="7" t="s">
        <v>910</v>
      </c>
      <c r="B347" s="11" t="s">
        <v>276</v>
      </c>
      <c r="C347" s="135" t="s">
        <v>716</v>
      </c>
      <c r="D347" s="130"/>
      <c r="E347" s="11" t="s">
        <v>819</v>
      </c>
      <c r="F347" s="15">
        <v>10</v>
      </c>
      <c r="G347" s="15">
        <v>0</v>
      </c>
      <c r="H347" s="15">
        <f>F347*AO347</f>
        <v>0</v>
      </c>
      <c r="I347" s="15">
        <f>F347*AP347</f>
        <v>0</v>
      </c>
      <c r="J347" s="15">
        <f>F347*G347</f>
        <v>0</v>
      </c>
      <c r="K347" s="12" t="s">
        <v>577</v>
      </c>
      <c r="Z347" s="15">
        <f>IF(AQ347="5",BJ347,0)</f>
        <v>0</v>
      </c>
      <c r="AB347" s="15">
        <f>IF(AQ347="1",BH347,0)</f>
        <v>0</v>
      </c>
      <c r="AC347" s="15">
        <f>IF(AQ347="1",BI347,0)</f>
        <v>0</v>
      </c>
      <c r="AD347" s="15">
        <f>IF(AQ347="7",BH347,0)</f>
        <v>0</v>
      </c>
      <c r="AE347" s="15">
        <f>IF(AQ347="7",BI347,0)</f>
        <v>0</v>
      </c>
      <c r="AF347" s="15">
        <f>IF(AQ347="2",BH347,0)</f>
        <v>0</v>
      </c>
      <c r="AG347" s="15">
        <f>IF(AQ347="2",BI347,0)</f>
        <v>0</v>
      </c>
      <c r="AH347" s="15">
        <f>IF(AQ347="0",BJ347,0)</f>
        <v>0</v>
      </c>
      <c r="AI347" s="52" t="s">
        <v>566</v>
      </c>
      <c r="AJ347" s="15">
        <f>IF(AN347=0,J347,0)</f>
        <v>0</v>
      </c>
      <c r="AK347" s="15">
        <f>IF(AN347=12,J347,0)</f>
        <v>0</v>
      </c>
      <c r="AL347" s="15">
        <f>IF(AN347=21,J347,0)</f>
        <v>0</v>
      </c>
      <c r="AN347" s="15">
        <v>21</v>
      </c>
      <c r="AO347" s="15">
        <f>G347*0</f>
        <v>0</v>
      </c>
      <c r="AP347" s="15">
        <f>G347*(1-0)</f>
        <v>0</v>
      </c>
      <c r="AQ347" s="1" t="s">
        <v>829</v>
      </c>
      <c r="AV347" s="15">
        <f>AW347+AX347</f>
        <v>0</v>
      </c>
      <c r="AW347" s="15">
        <f>F347*AO347</f>
        <v>0</v>
      </c>
      <c r="AX347" s="15">
        <f>F347*AP347</f>
        <v>0</v>
      </c>
      <c r="AY347" s="1" t="s">
        <v>292</v>
      </c>
      <c r="AZ347" s="1" t="s">
        <v>114</v>
      </c>
      <c r="BA347" s="52" t="s">
        <v>870</v>
      </c>
      <c r="BC347" s="15">
        <f>AW347+AX347</f>
        <v>0</v>
      </c>
      <c r="BD347" s="15">
        <f>G347/(100-BE347)*100</f>
        <v>0</v>
      </c>
      <c r="BE347" s="15">
        <v>0</v>
      </c>
      <c r="BF347" s="15">
        <f>347</f>
        <v>347</v>
      </c>
      <c r="BH347" s="15">
        <f>F347*AO347</f>
        <v>0</v>
      </c>
      <c r="BI347" s="15">
        <f>F347*AP347</f>
        <v>0</v>
      </c>
      <c r="BJ347" s="15">
        <f>F347*G347</f>
        <v>0</v>
      </c>
      <c r="BK347" s="15"/>
      <c r="BL347" s="15">
        <v>97</v>
      </c>
      <c r="BW347" s="15">
        <v>21</v>
      </c>
    </row>
    <row r="348" spans="1:11" ht="15" customHeight="1">
      <c r="A348" s="53"/>
      <c r="C348" s="66" t="s">
        <v>177</v>
      </c>
      <c r="D348" s="18" t="s">
        <v>577</v>
      </c>
      <c r="F348" s="13">
        <v>0</v>
      </c>
      <c r="K348" s="32"/>
    </row>
    <row r="349" spans="1:11" ht="15" customHeight="1">
      <c r="A349" s="53"/>
      <c r="C349" s="66" t="s">
        <v>493</v>
      </c>
      <c r="D349" s="18" t="s">
        <v>867</v>
      </c>
      <c r="F349" s="13">
        <v>10</v>
      </c>
      <c r="K349" s="32"/>
    </row>
    <row r="350" spans="1:47" ht="15" customHeight="1">
      <c r="A350" s="17" t="s">
        <v>577</v>
      </c>
      <c r="B350" s="20" t="s">
        <v>544</v>
      </c>
      <c r="C350" s="201" t="s">
        <v>513</v>
      </c>
      <c r="D350" s="210"/>
      <c r="E350" s="14" t="s">
        <v>774</v>
      </c>
      <c r="F350" s="14" t="s">
        <v>774</v>
      </c>
      <c r="G350" s="14" t="s">
        <v>774</v>
      </c>
      <c r="H350" s="68">
        <f>SUM(H351:H351)</f>
        <v>0</v>
      </c>
      <c r="I350" s="68">
        <f>SUM(I351:I351)</f>
        <v>0</v>
      </c>
      <c r="J350" s="68">
        <f>SUM(J351:J351)</f>
        <v>0</v>
      </c>
      <c r="K350" s="42" t="s">
        <v>577</v>
      </c>
      <c r="AI350" s="52" t="s">
        <v>566</v>
      </c>
      <c r="AS350" s="68">
        <f>SUM(AJ351:AJ351)</f>
        <v>0</v>
      </c>
      <c r="AT350" s="68">
        <f>SUM(AK351:AK351)</f>
        <v>0</v>
      </c>
      <c r="AU350" s="68">
        <f>SUM(AL351:AL351)</f>
        <v>0</v>
      </c>
    </row>
    <row r="351" spans="1:75" ht="13.5" customHeight="1">
      <c r="A351" s="7" t="s">
        <v>424</v>
      </c>
      <c r="B351" s="11" t="s">
        <v>568</v>
      </c>
      <c r="C351" s="135" t="s">
        <v>877</v>
      </c>
      <c r="D351" s="130"/>
      <c r="E351" s="11" t="s">
        <v>415</v>
      </c>
      <c r="F351" s="15">
        <v>39.11</v>
      </c>
      <c r="G351" s="15">
        <v>0</v>
      </c>
      <c r="H351" s="15">
        <f>F351*AO351</f>
        <v>0</v>
      </c>
      <c r="I351" s="15">
        <f>F351*AP351</f>
        <v>0</v>
      </c>
      <c r="J351" s="15">
        <f>F351*G351</f>
        <v>0</v>
      </c>
      <c r="K351" s="12" t="s">
        <v>406</v>
      </c>
      <c r="Z351" s="15">
        <f>IF(AQ351="5",BJ351,0)</f>
        <v>0</v>
      </c>
      <c r="AB351" s="15">
        <f>IF(AQ351="1",BH351,0)</f>
        <v>0</v>
      </c>
      <c r="AC351" s="15">
        <f>IF(AQ351="1",BI351,0)</f>
        <v>0</v>
      </c>
      <c r="AD351" s="15">
        <f>IF(AQ351="7",BH351,0)</f>
        <v>0</v>
      </c>
      <c r="AE351" s="15">
        <f>IF(AQ351="7",BI351,0)</f>
        <v>0</v>
      </c>
      <c r="AF351" s="15">
        <f>IF(AQ351="2",BH351,0)</f>
        <v>0</v>
      </c>
      <c r="AG351" s="15">
        <f>IF(AQ351="2",BI351,0)</f>
        <v>0</v>
      </c>
      <c r="AH351" s="15">
        <f>IF(AQ351="0",BJ351,0)</f>
        <v>0</v>
      </c>
      <c r="AI351" s="52" t="s">
        <v>566</v>
      </c>
      <c r="AJ351" s="15">
        <f>IF(AN351=0,J351,0)</f>
        <v>0</v>
      </c>
      <c r="AK351" s="15">
        <f>IF(AN351=12,J351,0)</f>
        <v>0</v>
      </c>
      <c r="AL351" s="15">
        <f>IF(AN351=21,J351,0)</f>
        <v>0</v>
      </c>
      <c r="AN351" s="15">
        <v>21</v>
      </c>
      <c r="AO351" s="15">
        <f>G351*0</f>
        <v>0</v>
      </c>
      <c r="AP351" s="15">
        <f>G351*(1-0)</f>
        <v>0</v>
      </c>
      <c r="AQ351" s="1" t="s">
        <v>461</v>
      </c>
      <c r="AV351" s="15">
        <f>AW351+AX351</f>
        <v>0</v>
      </c>
      <c r="AW351" s="15">
        <f>F351*AO351</f>
        <v>0</v>
      </c>
      <c r="AX351" s="15">
        <f>F351*AP351</f>
        <v>0</v>
      </c>
      <c r="AY351" s="1" t="s">
        <v>849</v>
      </c>
      <c r="AZ351" s="1" t="s">
        <v>114</v>
      </c>
      <c r="BA351" s="52" t="s">
        <v>870</v>
      </c>
      <c r="BC351" s="15">
        <f>AW351+AX351</f>
        <v>0</v>
      </c>
      <c r="BD351" s="15">
        <f>G351/(100-BE351)*100</f>
        <v>0</v>
      </c>
      <c r="BE351" s="15">
        <v>0</v>
      </c>
      <c r="BF351" s="15">
        <f>351</f>
        <v>351</v>
      </c>
      <c r="BH351" s="15">
        <f>F351*AO351</f>
        <v>0</v>
      </c>
      <c r="BI351" s="15">
        <f>F351*AP351</f>
        <v>0</v>
      </c>
      <c r="BJ351" s="15">
        <f>F351*G351</f>
        <v>0</v>
      </c>
      <c r="BK351" s="15"/>
      <c r="BL351" s="15"/>
      <c r="BW351" s="15">
        <v>21</v>
      </c>
    </row>
    <row r="352" spans="1:47" ht="15" customHeight="1">
      <c r="A352" s="17" t="s">
        <v>577</v>
      </c>
      <c r="B352" s="20" t="s">
        <v>145</v>
      </c>
      <c r="C352" s="201" t="s">
        <v>643</v>
      </c>
      <c r="D352" s="210"/>
      <c r="E352" s="14" t="s">
        <v>774</v>
      </c>
      <c r="F352" s="14" t="s">
        <v>774</v>
      </c>
      <c r="G352" s="14" t="s">
        <v>774</v>
      </c>
      <c r="H352" s="68">
        <f>SUM(H353:H355)</f>
        <v>0</v>
      </c>
      <c r="I352" s="68">
        <f>SUM(I353:I355)</f>
        <v>0</v>
      </c>
      <c r="J352" s="68">
        <f>SUM(J353:J355)</f>
        <v>0</v>
      </c>
      <c r="K352" s="42" t="s">
        <v>577</v>
      </c>
      <c r="AI352" s="52" t="s">
        <v>566</v>
      </c>
      <c r="AS352" s="68">
        <f>SUM(AJ353:AJ355)</f>
        <v>0</v>
      </c>
      <c r="AT352" s="68">
        <f>SUM(AK353:AK355)</f>
        <v>0</v>
      </c>
      <c r="AU352" s="68">
        <f>SUM(AL353:AL355)</f>
        <v>0</v>
      </c>
    </row>
    <row r="353" spans="1:75" ht="13.5" customHeight="1">
      <c r="A353" s="7" t="s">
        <v>692</v>
      </c>
      <c r="B353" s="11" t="s">
        <v>645</v>
      </c>
      <c r="C353" s="135" t="s">
        <v>298</v>
      </c>
      <c r="D353" s="130"/>
      <c r="E353" s="11" t="s">
        <v>224</v>
      </c>
      <c r="F353" s="15">
        <v>1</v>
      </c>
      <c r="G353" s="15">
        <v>0</v>
      </c>
      <c r="H353" s="15">
        <f>F353*AO353</f>
        <v>0</v>
      </c>
      <c r="I353" s="15">
        <f>F353*AP353</f>
        <v>0</v>
      </c>
      <c r="J353" s="15">
        <f>F353*G353</f>
        <v>0</v>
      </c>
      <c r="K353" s="12" t="s">
        <v>406</v>
      </c>
      <c r="Z353" s="15">
        <f>IF(AQ353="5",BJ353,0)</f>
        <v>0</v>
      </c>
      <c r="AB353" s="15">
        <f>IF(AQ353="1",BH353,0)</f>
        <v>0</v>
      </c>
      <c r="AC353" s="15">
        <f>IF(AQ353="1",BI353,0)</f>
        <v>0</v>
      </c>
      <c r="AD353" s="15">
        <f>IF(AQ353="7",BH353,0)</f>
        <v>0</v>
      </c>
      <c r="AE353" s="15">
        <f>IF(AQ353="7",BI353,0)</f>
        <v>0</v>
      </c>
      <c r="AF353" s="15">
        <f>IF(AQ353="2",BH353,0)</f>
        <v>0</v>
      </c>
      <c r="AG353" s="15">
        <f>IF(AQ353="2",BI353,0)</f>
        <v>0</v>
      </c>
      <c r="AH353" s="15">
        <f>IF(AQ353="0",BJ353,0)</f>
        <v>0</v>
      </c>
      <c r="AI353" s="52" t="s">
        <v>566</v>
      </c>
      <c r="AJ353" s="15">
        <f>IF(AN353=0,J353,0)</f>
        <v>0</v>
      </c>
      <c r="AK353" s="15">
        <f>IF(AN353=12,J353,0)</f>
        <v>0</v>
      </c>
      <c r="AL353" s="15">
        <f>IF(AN353=21,J353,0)</f>
        <v>0</v>
      </c>
      <c r="AN353" s="15">
        <v>21</v>
      </c>
      <c r="AO353" s="15">
        <f>G353*0</f>
        <v>0</v>
      </c>
      <c r="AP353" s="15">
        <f>G353*(1-0)</f>
        <v>0</v>
      </c>
      <c r="AQ353" s="1" t="s">
        <v>574</v>
      </c>
      <c r="AV353" s="15">
        <f>AW353+AX353</f>
        <v>0</v>
      </c>
      <c r="AW353" s="15">
        <f>F353*AO353</f>
        <v>0</v>
      </c>
      <c r="AX353" s="15">
        <f>F353*AP353</f>
        <v>0</v>
      </c>
      <c r="AY353" s="1" t="s">
        <v>861</v>
      </c>
      <c r="AZ353" s="1" t="s">
        <v>114</v>
      </c>
      <c r="BA353" s="52" t="s">
        <v>870</v>
      </c>
      <c r="BC353" s="15">
        <f>AW353+AX353</f>
        <v>0</v>
      </c>
      <c r="BD353" s="15">
        <f>G353/(100-BE353)*100</f>
        <v>0</v>
      </c>
      <c r="BE353" s="15">
        <v>0</v>
      </c>
      <c r="BF353" s="15">
        <f>353</f>
        <v>353</v>
      </c>
      <c r="BH353" s="15">
        <f>F353*AO353</f>
        <v>0</v>
      </c>
      <c r="BI353" s="15">
        <f>F353*AP353</f>
        <v>0</v>
      </c>
      <c r="BJ353" s="15">
        <f>F353*G353</f>
        <v>0</v>
      </c>
      <c r="BK353" s="15"/>
      <c r="BL353" s="15"/>
      <c r="BW353" s="15">
        <v>21</v>
      </c>
    </row>
    <row r="354" spans="1:11" ht="15" customHeight="1">
      <c r="A354" s="53"/>
      <c r="C354" s="66" t="s">
        <v>829</v>
      </c>
      <c r="D354" s="18" t="s">
        <v>577</v>
      </c>
      <c r="F354" s="13">
        <v>1</v>
      </c>
      <c r="K354" s="32"/>
    </row>
    <row r="355" spans="1:75" ht="13.5" customHeight="1">
      <c r="A355" s="7" t="s">
        <v>414</v>
      </c>
      <c r="B355" s="11" t="s">
        <v>719</v>
      </c>
      <c r="C355" s="135" t="s">
        <v>662</v>
      </c>
      <c r="D355" s="130"/>
      <c r="E355" s="11" t="s">
        <v>224</v>
      </c>
      <c r="F355" s="15">
        <v>1</v>
      </c>
      <c r="G355" s="15">
        <v>0</v>
      </c>
      <c r="H355" s="15">
        <f>F355*AO355</f>
        <v>0</v>
      </c>
      <c r="I355" s="15">
        <f>F355*AP355</f>
        <v>0</v>
      </c>
      <c r="J355" s="15">
        <f>F355*G355</f>
        <v>0</v>
      </c>
      <c r="K355" s="12" t="s">
        <v>406</v>
      </c>
      <c r="Z355" s="15">
        <f>IF(AQ355="5",BJ355,0)</f>
        <v>0</v>
      </c>
      <c r="AB355" s="15">
        <f>IF(AQ355="1",BH355,0)</f>
        <v>0</v>
      </c>
      <c r="AC355" s="15">
        <f>IF(AQ355="1",BI355,0)</f>
        <v>0</v>
      </c>
      <c r="AD355" s="15">
        <f>IF(AQ355="7",BH355,0)</f>
        <v>0</v>
      </c>
      <c r="AE355" s="15">
        <f>IF(AQ355="7",BI355,0)</f>
        <v>0</v>
      </c>
      <c r="AF355" s="15">
        <f>IF(AQ355="2",BH355,0)</f>
        <v>0</v>
      </c>
      <c r="AG355" s="15">
        <f>IF(AQ355="2",BI355,0)</f>
        <v>0</v>
      </c>
      <c r="AH355" s="15">
        <f>IF(AQ355="0",BJ355,0)</f>
        <v>0</v>
      </c>
      <c r="AI355" s="52" t="s">
        <v>566</v>
      </c>
      <c r="AJ355" s="15">
        <f>IF(AN355=0,J355,0)</f>
        <v>0</v>
      </c>
      <c r="AK355" s="15">
        <f>IF(AN355=12,J355,0)</f>
        <v>0</v>
      </c>
      <c r="AL355" s="15">
        <f>IF(AN355=21,J355,0)</f>
        <v>0</v>
      </c>
      <c r="AN355" s="15">
        <v>21</v>
      </c>
      <c r="AO355" s="15">
        <f>G355*0</f>
        <v>0</v>
      </c>
      <c r="AP355" s="15">
        <f>G355*(1-0)</f>
        <v>0</v>
      </c>
      <c r="AQ355" s="1" t="s">
        <v>574</v>
      </c>
      <c r="AV355" s="15">
        <f>AW355+AX355</f>
        <v>0</v>
      </c>
      <c r="AW355" s="15">
        <f>F355*AO355</f>
        <v>0</v>
      </c>
      <c r="AX355" s="15">
        <f>F355*AP355</f>
        <v>0</v>
      </c>
      <c r="AY355" s="1" t="s">
        <v>861</v>
      </c>
      <c r="AZ355" s="1" t="s">
        <v>114</v>
      </c>
      <c r="BA355" s="52" t="s">
        <v>870</v>
      </c>
      <c r="BC355" s="15">
        <f>AW355+AX355</f>
        <v>0</v>
      </c>
      <c r="BD355" s="15">
        <f>G355/(100-BE355)*100</f>
        <v>0</v>
      </c>
      <c r="BE355" s="15">
        <v>0</v>
      </c>
      <c r="BF355" s="15">
        <f>355</f>
        <v>355</v>
      </c>
      <c r="BH355" s="15">
        <f>F355*AO355</f>
        <v>0</v>
      </c>
      <c r="BI355" s="15">
        <f>F355*AP355</f>
        <v>0</v>
      </c>
      <c r="BJ355" s="15">
        <f>F355*G355</f>
        <v>0</v>
      </c>
      <c r="BK355" s="15"/>
      <c r="BL355" s="15"/>
      <c r="BW355" s="15">
        <v>21</v>
      </c>
    </row>
    <row r="356" spans="1:11" ht="15" customHeight="1">
      <c r="A356" s="53"/>
      <c r="C356" s="66" t="s">
        <v>829</v>
      </c>
      <c r="D356" s="18" t="s">
        <v>577</v>
      </c>
      <c r="F356" s="13">
        <v>1</v>
      </c>
      <c r="K356" s="32"/>
    </row>
    <row r="357" spans="1:47" ht="15" customHeight="1">
      <c r="A357" s="17" t="s">
        <v>577</v>
      </c>
      <c r="B357" s="20" t="s">
        <v>742</v>
      </c>
      <c r="C357" s="201" t="s">
        <v>273</v>
      </c>
      <c r="D357" s="210"/>
      <c r="E357" s="14" t="s">
        <v>774</v>
      </c>
      <c r="F357" s="14" t="s">
        <v>774</v>
      </c>
      <c r="G357" s="14" t="s">
        <v>774</v>
      </c>
      <c r="H357" s="68">
        <f>SUM(H358:H363)</f>
        <v>0</v>
      </c>
      <c r="I357" s="68">
        <f>SUM(I358:I363)</f>
        <v>0</v>
      </c>
      <c r="J357" s="68">
        <f>SUM(J358:J363)</f>
        <v>0</v>
      </c>
      <c r="K357" s="42" t="s">
        <v>577</v>
      </c>
      <c r="AI357" s="52" t="s">
        <v>566</v>
      </c>
      <c r="AS357" s="68">
        <f>SUM(AJ358:AJ363)</f>
        <v>0</v>
      </c>
      <c r="AT357" s="68">
        <f>SUM(AK358:AK363)</f>
        <v>0</v>
      </c>
      <c r="AU357" s="68">
        <f>SUM(AL358:AL363)</f>
        <v>0</v>
      </c>
    </row>
    <row r="358" spans="1:75" ht="13.5" customHeight="1">
      <c r="A358" s="7" t="s">
        <v>539</v>
      </c>
      <c r="B358" s="11" t="s">
        <v>374</v>
      </c>
      <c r="C358" s="135" t="s">
        <v>313</v>
      </c>
      <c r="D358" s="130"/>
      <c r="E358" s="11" t="s">
        <v>321</v>
      </c>
      <c r="F358" s="15">
        <v>1</v>
      </c>
      <c r="G358" s="15">
        <v>0</v>
      </c>
      <c r="H358" s="15">
        <f>F358*AO358</f>
        <v>0</v>
      </c>
      <c r="I358" s="15">
        <f>F358*AP358</f>
        <v>0</v>
      </c>
      <c r="J358" s="15">
        <f>F358*G358</f>
        <v>0</v>
      </c>
      <c r="K358" s="12" t="s">
        <v>577</v>
      </c>
      <c r="Z358" s="15">
        <f>IF(AQ358="5",BJ358,0)</f>
        <v>0</v>
      </c>
      <c r="AB358" s="15">
        <f>IF(AQ358="1",BH358,0)</f>
        <v>0</v>
      </c>
      <c r="AC358" s="15">
        <f>IF(AQ358="1",BI358,0)</f>
        <v>0</v>
      </c>
      <c r="AD358" s="15">
        <f>IF(AQ358="7",BH358,0)</f>
        <v>0</v>
      </c>
      <c r="AE358" s="15">
        <f>IF(AQ358="7",BI358,0)</f>
        <v>0</v>
      </c>
      <c r="AF358" s="15">
        <f>IF(AQ358="2",BH358,0)</f>
        <v>0</v>
      </c>
      <c r="AG358" s="15">
        <f>IF(AQ358="2",BI358,0)</f>
        <v>0</v>
      </c>
      <c r="AH358" s="15">
        <f>IF(AQ358="0",BJ358,0)</f>
        <v>0</v>
      </c>
      <c r="AI358" s="52" t="s">
        <v>566</v>
      </c>
      <c r="AJ358" s="15">
        <f>IF(AN358=0,J358,0)</f>
        <v>0</v>
      </c>
      <c r="AK358" s="15">
        <f>IF(AN358=12,J358,0)</f>
        <v>0</v>
      </c>
      <c r="AL358" s="15">
        <f>IF(AN358=21,J358,0)</f>
        <v>0</v>
      </c>
      <c r="AN358" s="15">
        <v>21</v>
      </c>
      <c r="AO358" s="15">
        <f>G358*0</f>
        <v>0</v>
      </c>
      <c r="AP358" s="15">
        <f>G358*(1-0)</f>
        <v>0</v>
      </c>
      <c r="AQ358" s="1" t="s">
        <v>574</v>
      </c>
      <c r="AV358" s="15">
        <f>AW358+AX358</f>
        <v>0</v>
      </c>
      <c r="AW358" s="15">
        <f>F358*AO358</f>
        <v>0</v>
      </c>
      <c r="AX358" s="15">
        <f>F358*AP358</f>
        <v>0</v>
      </c>
      <c r="AY358" s="1" t="s">
        <v>892</v>
      </c>
      <c r="AZ358" s="1" t="s">
        <v>114</v>
      </c>
      <c r="BA358" s="52" t="s">
        <v>870</v>
      </c>
      <c r="BC358" s="15">
        <f>AW358+AX358</f>
        <v>0</v>
      </c>
      <c r="BD358" s="15">
        <f>G358/(100-BE358)*100</f>
        <v>0</v>
      </c>
      <c r="BE358" s="15">
        <v>0</v>
      </c>
      <c r="BF358" s="15">
        <f>358</f>
        <v>358</v>
      </c>
      <c r="BH358" s="15">
        <f>F358*AO358</f>
        <v>0</v>
      </c>
      <c r="BI358" s="15">
        <f>F358*AP358</f>
        <v>0</v>
      </c>
      <c r="BJ358" s="15">
        <f>F358*G358</f>
        <v>0</v>
      </c>
      <c r="BK358" s="15"/>
      <c r="BL358" s="15"/>
      <c r="BW358" s="15">
        <v>21</v>
      </c>
    </row>
    <row r="359" spans="1:11" ht="13.5" customHeight="1">
      <c r="A359" s="53"/>
      <c r="C359" s="202" t="s">
        <v>531</v>
      </c>
      <c r="D359" s="211"/>
      <c r="E359" s="211"/>
      <c r="F359" s="211"/>
      <c r="G359" s="211"/>
      <c r="H359" s="211"/>
      <c r="I359" s="211"/>
      <c r="J359" s="211"/>
      <c r="K359" s="212"/>
    </row>
    <row r="360" spans="1:11" ht="15" customHeight="1">
      <c r="A360" s="53"/>
      <c r="C360" s="66" t="s">
        <v>829</v>
      </c>
      <c r="D360" s="18" t="s">
        <v>577</v>
      </c>
      <c r="F360" s="13">
        <v>1</v>
      </c>
      <c r="K360" s="32"/>
    </row>
    <row r="361" spans="1:75" ht="13.5" customHeight="1">
      <c r="A361" s="7" t="s">
        <v>900</v>
      </c>
      <c r="B361" s="11" t="s">
        <v>150</v>
      </c>
      <c r="C361" s="135" t="s">
        <v>284</v>
      </c>
      <c r="D361" s="130"/>
      <c r="E361" s="11" t="s">
        <v>695</v>
      </c>
      <c r="F361" s="15">
        <v>50</v>
      </c>
      <c r="G361" s="15">
        <v>0</v>
      </c>
      <c r="H361" s="15">
        <f>F361*AO361</f>
        <v>0</v>
      </c>
      <c r="I361" s="15">
        <f>F361*AP361</f>
        <v>0</v>
      </c>
      <c r="J361" s="15">
        <f>F361*G361</f>
        <v>0</v>
      </c>
      <c r="K361" s="12" t="s">
        <v>577</v>
      </c>
      <c r="Z361" s="15">
        <f>IF(AQ361="5",BJ361,0)</f>
        <v>0</v>
      </c>
      <c r="AB361" s="15">
        <f>IF(AQ361="1",BH361,0)</f>
        <v>0</v>
      </c>
      <c r="AC361" s="15">
        <f>IF(AQ361="1",BI361,0)</f>
        <v>0</v>
      </c>
      <c r="AD361" s="15">
        <f>IF(AQ361="7",BH361,0)</f>
        <v>0</v>
      </c>
      <c r="AE361" s="15">
        <f>IF(AQ361="7",BI361,0)</f>
        <v>0</v>
      </c>
      <c r="AF361" s="15">
        <f>IF(AQ361="2",BH361,0)</f>
        <v>0</v>
      </c>
      <c r="AG361" s="15">
        <f>IF(AQ361="2",BI361,0)</f>
        <v>0</v>
      </c>
      <c r="AH361" s="15">
        <f>IF(AQ361="0",BJ361,0)</f>
        <v>0</v>
      </c>
      <c r="AI361" s="52" t="s">
        <v>566</v>
      </c>
      <c r="AJ361" s="15">
        <f>IF(AN361=0,J361,0)</f>
        <v>0</v>
      </c>
      <c r="AK361" s="15">
        <f>IF(AN361=12,J361,0)</f>
        <v>0</v>
      </c>
      <c r="AL361" s="15">
        <f>IF(AN361=21,J361,0)</f>
        <v>0</v>
      </c>
      <c r="AN361" s="15">
        <v>21</v>
      </c>
      <c r="AO361" s="15">
        <f>G361*0</f>
        <v>0</v>
      </c>
      <c r="AP361" s="15">
        <f>G361*(1-0)</f>
        <v>0</v>
      </c>
      <c r="AQ361" s="1" t="s">
        <v>574</v>
      </c>
      <c r="AV361" s="15">
        <f>AW361+AX361</f>
        <v>0</v>
      </c>
      <c r="AW361" s="15">
        <f>F361*AO361</f>
        <v>0</v>
      </c>
      <c r="AX361" s="15">
        <f>F361*AP361</f>
        <v>0</v>
      </c>
      <c r="AY361" s="1" t="s">
        <v>892</v>
      </c>
      <c r="AZ361" s="1" t="s">
        <v>114</v>
      </c>
      <c r="BA361" s="52" t="s">
        <v>870</v>
      </c>
      <c r="BC361" s="15">
        <f>AW361+AX361</f>
        <v>0</v>
      </c>
      <c r="BD361" s="15">
        <f>G361/(100-BE361)*100</f>
        <v>0</v>
      </c>
      <c r="BE361" s="15">
        <v>0</v>
      </c>
      <c r="BF361" s="15">
        <f>361</f>
        <v>361</v>
      </c>
      <c r="BH361" s="15">
        <f>F361*AO361</f>
        <v>0</v>
      </c>
      <c r="BI361" s="15">
        <f>F361*AP361</f>
        <v>0</v>
      </c>
      <c r="BJ361" s="15">
        <f>F361*G361</f>
        <v>0</v>
      </c>
      <c r="BK361" s="15"/>
      <c r="BL361" s="15"/>
      <c r="BW361" s="15">
        <v>21</v>
      </c>
    </row>
    <row r="362" spans="1:11" ht="15" customHeight="1">
      <c r="A362" s="53"/>
      <c r="C362" s="66" t="s">
        <v>693</v>
      </c>
      <c r="D362" s="18" t="s">
        <v>577</v>
      </c>
      <c r="F362" s="13">
        <v>50.00000000000001</v>
      </c>
      <c r="K362" s="32"/>
    </row>
    <row r="363" spans="1:75" ht="13.5" customHeight="1">
      <c r="A363" s="7" t="s">
        <v>583</v>
      </c>
      <c r="B363" s="11" t="s">
        <v>340</v>
      </c>
      <c r="C363" s="135" t="s">
        <v>201</v>
      </c>
      <c r="D363" s="130"/>
      <c r="E363" s="11" t="s">
        <v>695</v>
      </c>
      <c r="F363" s="15">
        <v>50</v>
      </c>
      <c r="G363" s="15">
        <v>0</v>
      </c>
      <c r="H363" s="15">
        <f>F363*AO363</f>
        <v>0</v>
      </c>
      <c r="I363" s="15">
        <f>F363*AP363</f>
        <v>0</v>
      </c>
      <c r="J363" s="15">
        <f>F363*G363</f>
        <v>0</v>
      </c>
      <c r="K363" s="12" t="s">
        <v>577</v>
      </c>
      <c r="Z363" s="15">
        <f>IF(AQ363="5",BJ363,0)</f>
        <v>0</v>
      </c>
      <c r="AB363" s="15">
        <f>IF(AQ363="1",BH363,0)</f>
        <v>0</v>
      </c>
      <c r="AC363" s="15">
        <f>IF(AQ363="1",BI363,0)</f>
        <v>0</v>
      </c>
      <c r="AD363" s="15">
        <f>IF(AQ363="7",BH363,0)</f>
        <v>0</v>
      </c>
      <c r="AE363" s="15">
        <f>IF(AQ363="7",BI363,0)</f>
        <v>0</v>
      </c>
      <c r="AF363" s="15">
        <f>IF(AQ363="2",BH363,0)</f>
        <v>0</v>
      </c>
      <c r="AG363" s="15">
        <f>IF(AQ363="2",BI363,0)</f>
        <v>0</v>
      </c>
      <c r="AH363" s="15">
        <f>IF(AQ363="0",BJ363,0)</f>
        <v>0</v>
      </c>
      <c r="AI363" s="52" t="s">
        <v>566</v>
      </c>
      <c r="AJ363" s="15">
        <f>IF(AN363=0,J363,0)</f>
        <v>0</v>
      </c>
      <c r="AK363" s="15">
        <f>IF(AN363=12,J363,0)</f>
        <v>0</v>
      </c>
      <c r="AL363" s="15">
        <f>IF(AN363=21,J363,0)</f>
        <v>0</v>
      </c>
      <c r="AN363" s="15">
        <v>21</v>
      </c>
      <c r="AO363" s="15">
        <f>G363*0.598787767752179</f>
        <v>0</v>
      </c>
      <c r="AP363" s="15">
        <f>G363*(1-0.598787767752179)</f>
        <v>0</v>
      </c>
      <c r="AQ363" s="1" t="s">
        <v>574</v>
      </c>
      <c r="AV363" s="15">
        <f>AW363+AX363</f>
        <v>0</v>
      </c>
      <c r="AW363" s="15">
        <f>F363*AO363</f>
        <v>0</v>
      </c>
      <c r="AX363" s="15">
        <f>F363*AP363</f>
        <v>0</v>
      </c>
      <c r="AY363" s="1" t="s">
        <v>892</v>
      </c>
      <c r="AZ363" s="1" t="s">
        <v>114</v>
      </c>
      <c r="BA363" s="52" t="s">
        <v>870</v>
      </c>
      <c r="BC363" s="15">
        <f>AW363+AX363</f>
        <v>0</v>
      </c>
      <c r="BD363" s="15">
        <f>G363/(100-BE363)*100</f>
        <v>0</v>
      </c>
      <c r="BE363" s="15">
        <v>0</v>
      </c>
      <c r="BF363" s="15">
        <f>363</f>
        <v>363</v>
      </c>
      <c r="BH363" s="15">
        <f>F363*AO363</f>
        <v>0</v>
      </c>
      <c r="BI363" s="15">
        <f>F363*AP363</f>
        <v>0</v>
      </c>
      <c r="BJ363" s="15">
        <f>F363*G363</f>
        <v>0</v>
      </c>
      <c r="BK363" s="15"/>
      <c r="BL363" s="15"/>
      <c r="BW363" s="15">
        <v>21</v>
      </c>
    </row>
    <row r="364" spans="1:11" ht="13.5" customHeight="1">
      <c r="A364" s="53"/>
      <c r="C364" s="202" t="s">
        <v>309</v>
      </c>
      <c r="D364" s="211"/>
      <c r="E364" s="211"/>
      <c r="F364" s="211"/>
      <c r="G364" s="211"/>
      <c r="H364" s="211"/>
      <c r="I364" s="211"/>
      <c r="J364" s="211"/>
      <c r="K364" s="212"/>
    </row>
    <row r="365" spans="1:11" ht="15" customHeight="1">
      <c r="A365" s="53"/>
      <c r="C365" s="66" t="s">
        <v>693</v>
      </c>
      <c r="D365" s="18" t="s">
        <v>577</v>
      </c>
      <c r="F365" s="13">
        <v>50.00000000000001</v>
      </c>
      <c r="K365" s="32"/>
    </row>
    <row r="366" spans="1:47" ht="15" customHeight="1">
      <c r="A366" s="17" t="s">
        <v>577</v>
      </c>
      <c r="B366" s="20" t="s">
        <v>307</v>
      </c>
      <c r="C366" s="201" t="s">
        <v>393</v>
      </c>
      <c r="D366" s="210"/>
      <c r="E366" s="14" t="s">
        <v>774</v>
      </c>
      <c r="F366" s="14" t="s">
        <v>774</v>
      </c>
      <c r="G366" s="14" t="s">
        <v>774</v>
      </c>
      <c r="H366" s="68">
        <f>SUM(H367:H381)</f>
        <v>0</v>
      </c>
      <c r="I366" s="68">
        <f>SUM(I367:I381)</f>
        <v>0</v>
      </c>
      <c r="J366" s="68">
        <f>SUM(J367:J381)</f>
        <v>0</v>
      </c>
      <c r="K366" s="42" t="s">
        <v>577</v>
      </c>
      <c r="AI366" s="52" t="s">
        <v>566</v>
      </c>
      <c r="AS366" s="68">
        <f>SUM(AJ367:AJ381)</f>
        <v>0</v>
      </c>
      <c r="AT366" s="68">
        <f>SUM(AK367:AK381)</f>
        <v>0</v>
      </c>
      <c r="AU366" s="68">
        <f>SUM(AL367:AL381)</f>
        <v>0</v>
      </c>
    </row>
    <row r="367" spans="1:75" ht="13.5" customHeight="1">
      <c r="A367" s="7" t="s">
        <v>909</v>
      </c>
      <c r="B367" s="11" t="s">
        <v>850</v>
      </c>
      <c r="C367" s="135" t="s">
        <v>244</v>
      </c>
      <c r="D367" s="130"/>
      <c r="E367" s="11" t="s">
        <v>415</v>
      </c>
      <c r="F367" s="15">
        <v>61.39</v>
      </c>
      <c r="G367" s="15">
        <v>0</v>
      </c>
      <c r="H367" s="15">
        <f>F367*AO367</f>
        <v>0</v>
      </c>
      <c r="I367" s="15">
        <f>F367*AP367</f>
        <v>0</v>
      </c>
      <c r="J367" s="15">
        <f>F367*G367</f>
        <v>0</v>
      </c>
      <c r="K367" s="12" t="s">
        <v>406</v>
      </c>
      <c r="Z367" s="15">
        <f>IF(AQ367="5",BJ367,0)</f>
        <v>0</v>
      </c>
      <c r="AB367" s="15">
        <f>IF(AQ367="1",BH367,0)</f>
        <v>0</v>
      </c>
      <c r="AC367" s="15">
        <f>IF(AQ367="1",BI367,0)</f>
        <v>0</v>
      </c>
      <c r="AD367" s="15">
        <f>IF(AQ367="7",BH367,0)</f>
        <v>0</v>
      </c>
      <c r="AE367" s="15">
        <f>IF(AQ367="7",BI367,0)</f>
        <v>0</v>
      </c>
      <c r="AF367" s="15">
        <f>IF(AQ367="2",BH367,0)</f>
        <v>0</v>
      </c>
      <c r="AG367" s="15">
        <f>IF(AQ367="2",BI367,0)</f>
        <v>0</v>
      </c>
      <c r="AH367" s="15">
        <f>IF(AQ367="0",BJ367,0)</f>
        <v>0</v>
      </c>
      <c r="AI367" s="52" t="s">
        <v>566</v>
      </c>
      <c r="AJ367" s="15">
        <f>IF(AN367=0,J367,0)</f>
        <v>0</v>
      </c>
      <c r="AK367" s="15">
        <f>IF(AN367=12,J367,0)</f>
        <v>0</v>
      </c>
      <c r="AL367" s="15">
        <f>IF(AN367=21,J367,0)</f>
        <v>0</v>
      </c>
      <c r="AN367" s="15">
        <v>21</v>
      </c>
      <c r="AO367" s="15">
        <f>G367*0</f>
        <v>0</v>
      </c>
      <c r="AP367" s="15">
        <f>G367*(1-0)</f>
        <v>0</v>
      </c>
      <c r="AQ367" s="1" t="s">
        <v>461</v>
      </c>
      <c r="AV367" s="15">
        <f>AW367+AX367</f>
        <v>0</v>
      </c>
      <c r="AW367" s="15">
        <f>F367*AO367</f>
        <v>0</v>
      </c>
      <c r="AX367" s="15">
        <f>F367*AP367</f>
        <v>0</v>
      </c>
      <c r="AY367" s="1" t="s">
        <v>376</v>
      </c>
      <c r="AZ367" s="1" t="s">
        <v>114</v>
      </c>
      <c r="BA367" s="52" t="s">
        <v>870</v>
      </c>
      <c r="BC367" s="15">
        <f>AW367+AX367</f>
        <v>0</v>
      </c>
      <c r="BD367" s="15">
        <f>G367/(100-BE367)*100</f>
        <v>0</v>
      </c>
      <c r="BE367" s="15">
        <v>0</v>
      </c>
      <c r="BF367" s="15">
        <f>367</f>
        <v>367</v>
      </c>
      <c r="BH367" s="15">
        <f>F367*AO367</f>
        <v>0</v>
      </c>
      <c r="BI367" s="15">
        <f>F367*AP367</f>
        <v>0</v>
      </c>
      <c r="BJ367" s="15">
        <f>F367*G367</f>
        <v>0</v>
      </c>
      <c r="BK367" s="15"/>
      <c r="BL367" s="15"/>
      <c r="BW367" s="15">
        <v>21</v>
      </c>
    </row>
    <row r="368" spans="1:75" ht="13.5" customHeight="1">
      <c r="A368" s="7" t="s">
        <v>854</v>
      </c>
      <c r="B368" s="11" t="s">
        <v>331</v>
      </c>
      <c r="C368" s="135" t="s">
        <v>830</v>
      </c>
      <c r="D368" s="130"/>
      <c r="E368" s="11" t="s">
        <v>415</v>
      </c>
      <c r="F368" s="15">
        <v>61.39</v>
      </c>
      <c r="G368" s="15">
        <v>0</v>
      </c>
      <c r="H368" s="15">
        <f>F368*AO368</f>
        <v>0</v>
      </c>
      <c r="I368" s="15">
        <f>F368*AP368</f>
        <v>0</v>
      </c>
      <c r="J368" s="15">
        <f>F368*G368</f>
        <v>0</v>
      </c>
      <c r="K368" s="12" t="s">
        <v>406</v>
      </c>
      <c r="Z368" s="15">
        <f>IF(AQ368="5",BJ368,0)</f>
        <v>0</v>
      </c>
      <c r="AB368" s="15">
        <f>IF(AQ368="1",BH368,0)</f>
        <v>0</v>
      </c>
      <c r="AC368" s="15">
        <f>IF(AQ368="1",BI368,0)</f>
        <v>0</v>
      </c>
      <c r="AD368" s="15">
        <f>IF(AQ368="7",BH368,0)</f>
        <v>0</v>
      </c>
      <c r="AE368" s="15">
        <f>IF(AQ368="7",BI368,0)</f>
        <v>0</v>
      </c>
      <c r="AF368" s="15">
        <f>IF(AQ368="2",BH368,0)</f>
        <v>0</v>
      </c>
      <c r="AG368" s="15">
        <f>IF(AQ368="2",BI368,0)</f>
        <v>0</v>
      </c>
      <c r="AH368" s="15">
        <f>IF(AQ368="0",BJ368,0)</f>
        <v>0</v>
      </c>
      <c r="AI368" s="52" t="s">
        <v>566</v>
      </c>
      <c r="AJ368" s="15">
        <f>IF(AN368=0,J368,0)</f>
        <v>0</v>
      </c>
      <c r="AK368" s="15">
        <f>IF(AN368=12,J368,0)</f>
        <v>0</v>
      </c>
      <c r="AL368" s="15">
        <f>IF(AN368=21,J368,0)</f>
        <v>0</v>
      </c>
      <c r="AN368" s="15">
        <v>21</v>
      </c>
      <c r="AO368" s="15">
        <f>G368*0</f>
        <v>0</v>
      </c>
      <c r="AP368" s="15">
        <f>G368*(1-0)</f>
        <v>0</v>
      </c>
      <c r="AQ368" s="1" t="s">
        <v>461</v>
      </c>
      <c r="AV368" s="15">
        <f>AW368+AX368</f>
        <v>0</v>
      </c>
      <c r="AW368" s="15">
        <f>F368*AO368</f>
        <v>0</v>
      </c>
      <c r="AX368" s="15">
        <f>F368*AP368</f>
        <v>0</v>
      </c>
      <c r="AY368" s="1" t="s">
        <v>376</v>
      </c>
      <c r="AZ368" s="1" t="s">
        <v>114</v>
      </c>
      <c r="BA368" s="52" t="s">
        <v>870</v>
      </c>
      <c r="BC368" s="15">
        <f>AW368+AX368</f>
        <v>0</v>
      </c>
      <c r="BD368" s="15">
        <f>G368/(100-BE368)*100</f>
        <v>0</v>
      </c>
      <c r="BE368" s="15">
        <v>0</v>
      </c>
      <c r="BF368" s="15">
        <f>368</f>
        <v>368</v>
      </c>
      <c r="BH368" s="15">
        <f>F368*AO368</f>
        <v>0</v>
      </c>
      <c r="BI368" s="15">
        <f>F368*AP368</f>
        <v>0</v>
      </c>
      <c r="BJ368" s="15">
        <f>F368*G368</f>
        <v>0</v>
      </c>
      <c r="BK368" s="15"/>
      <c r="BL368" s="15"/>
      <c r="BW368" s="15">
        <v>21</v>
      </c>
    </row>
    <row r="369" spans="1:11" ht="15" customHeight="1">
      <c r="A369" s="53"/>
      <c r="C369" s="66" t="s">
        <v>932</v>
      </c>
      <c r="D369" s="18" t="s">
        <v>577</v>
      </c>
      <c r="F369" s="13">
        <v>61.39000000000001</v>
      </c>
      <c r="K369" s="32"/>
    </row>
    <row r="370" spans="1:75" ht="13.5" customHeight="1">
      <c r="A370" s="7" t="s">
        <v>799</v>
      </c>
      <c r="B370" s="11" t="s">
        <v>384</v>
      </c>
      <c r="C370" s="135" t="s">
        <v>4</v>
      </c>
      <c r="D370" s="130"/>
      <c r="E370" s="11" t="s">
        <v>415</v>
      </c>
      <c r="F370" s="15">
        <v>184.17</v>
      </c>
      <c r="G370" s="15">
        <v>0</v>
      </c>
      <c r="H370" s="15">
        <f>F370*AO370</f>
        <v>0</v>
      </c>
      <c r="I370" s="15">
        <f>F370*AP370</f>
        <v>0</v>
      </c>
      <c r="J370" s="15">
        <f>F370*G370</f>
        <v>0</v>
      </c>
      <c r="K370" s="12" t="s">
        <v>406</v>
      </c>
      <c r="Z370" s="15">
        <f>IF(AQ370="5",BJ370,0)</f>
        <v>0</v>
      </c>
      <c r="AB370" s="15">
        <f>IF(AQ370="1",BH370,0)</f>
        <v>0</v>
      </c>
      <c r="AC370" s="15">
        <f>IF(AQ370="1",BI370,0)</f>
        <v>0</v>
      </c>
      <c r="AD370" s="15">
        <f>IF(AQ370="7",BH370,0)</f>
        <v>0</v>
      </c>
      <c r="AE370" s="15">
        <f>IF(AQ370="7",BI370,0)</f>
        <v>0</v>
      </c>
      <c r="AF370" s="15">
        <f>IF(AQ370="2",BH370,0)</f>
        <v>0</v>
      </c>
      <c r="AG370" s="15">
        <f>IF(AQ370="2",BI370,0)</f>
        <v>0</v>
      </c>
      <c r="AH370" s="15">
        <f>IF(AQ370="0",BJ370,0)</f>
        <v>0</v>
      </c>
      <c r="AI370" s="52" t="s">
        <v>566</v>
      </c>
      <c r="AJ370" s="15">
        <f>IF(AN370=0,J370,0)</f>
        <v>0</v>
      </c>
      <c r="AK370" s="15">
        <f>IF(AN370=12,J370,0)</f>
        <v>0</v>
      </c>
      <c r="AL370" s="15">
        <f>IF(AN370=21,J370,0)</f>
        <v>0</v>
      </c>
      <c r="AN370" s="15">
        <v>21</v>
      </c>
      <c r="AO370" s="15">
        <f>G370*0</f>
        <v>0</v>
      </c>
      <c r="AP370" s="15">
        <f>G370*(1-0)</f>
        <v>0</v>
      </c>
      <c r="AQ370" s="1" t="s">
        <v>461</v>
      </c>
      <c r="AV370" s="15">
        <f>AW370+AX370</f>
        <v>0</v>
      </c>
      <c r="AW370" s="15">
        <f>F370*AO370</f>
        <v>0</v>
      </c>
      <c r="AX370" s="15">
        <f>F370*AP370</f>
        <v>0</v>
      </c>
      <c r="AY370" s="1" t="s">
        <v>376</v>
      </c>
      <c r="AZ370" s="1" t="s">
        <v>114</v>
      </c>
      <c r="BA370" s="52" t="s">
        <v>870</v>
      </c>
      <c r="BC370" s="15">
        <f>AW370+AX370</f>
        <v>0</v>
      </c>
      <c r="BD370" s="15">
        <f>G370/(100-BE370)*100</f>
        <v>0</v>
      </c>
      <c r="BE370" s="15">
        <v>0</v>
      </c>
      <c r="BF370" s="15">
        <f>370</f>
        <v>370</v>
      </c>
      <c r="BH370" s="15">
        <f>F370*AO370</f>
        <v>0</v>
      </c>
      <c r="BI370" s="15">
        <f>F370*AP370</f>
        <v>0</v>
      </c>
      <c r="BJ370" s="15">
        <f>F370*G370</f>
        <v>0</v>
      </c>
      <c r="BK370" s="15"/>
      <c r="BL370" s="15"/>
      <c r="BW370" s="15">
        <v>21</v>
      </c>
    </row>
    <row r="371" spans="1:11" ht="15" customHeight="1">
      <c r="A371" s="53"/>
      <c r="C371" s="66" t="s">
        <v>143</v>
      </c>
      <c r="D371" s="18" t="s">
        <v>577</v>
      </c>
      <c r="F371" s="13">
        <v>184.17000000000002</v>
      </c>
      <c r="K371" s="32"/>
    </row>
    <row r="372" spans="1:75" ht="13.5" customHeight="1">
      <c r="A372" s="7" t="s">
        <v>454</v>
      </c>
      <c r="B372" s="11" t="s">
        <v>596</v>
      </c>
      <c r="C372" s="135" t="s">
        <v>619</v>
      </c>
      <c r="D372" s="130"/>
      <c r="E372" s="11" t="s">
        <v>415</v>
      </c>
      <c r="F372" s="15">
        <v>61.39</v>
      </c>
      <c r="G372" s="15">
        <v>0</v>
      </c>
      <c r="H372" s="15">
        <f>F372*AO372</f>
        <v>0</v>
      </c>
      <c r="I372" s="15">
        <f>F372*AP372</f>
        <v>0</v>
      </c>
      <c r="J372" s="15">
        <f>F372*G372</f>
        <v>0</v>
      </c>
      <c r="K372" s="12" t="s">
        <v>406</v>
      </c>
      <c r="Z372" s="15">
        <f>IF(AQ372="5",BJ372,0)</f>
        <v>0</v>
      </c>
      <c r="AB372" s="15">
        <f>IF(AQ372="1",BH372,0)</f>
        <v>0</v>
      </c>
      <c r="AC372" s="15">
        <f>IF(AQ372="1",BI372,0)</f>
        <v>0</v>
      </c>
      <c r="AD372" s="15">
        <f>IF(AQ372="7",BH372,0)</f>
        <v>0</v>
      </c>
      <c r="AE372" s="15">
        <f>IF(AQ372="7",BI372,0)</f>
        <v>0</v>
      </c>
      <c r="AF372" s="15">
        <f>IF(AQ372="2",BH372,0)</f>
        <v>0</v>
      </c>
      <c r="AG372" s="15">
        <f>IF(AQ372="2",BI372,0)</f>
        <v>0</v>
      </c>
      <c r="AH372" s="15">
        <f>IF(AQ372="0",BJ372,0)</f>
        <v>0</v>
      </c>
      <c r="AI372" s="52" t="s">
        <v>566</v>
      </c>
      <c r="AJ372" s="15">
        <f>IF(AN372=0,J372,0)</f>
        <v>0</v>
      </c>
      <c r="AK372" s="15">
        <f>IF(AN372=12,J372,0)</f>
        <v>0</v>
      </c>
      <c r="AL372" s="15">
        <f>IF(AN372=21,J372,0)</f>
        <v>0</v>
      </c>
      <c r="AN372" s="15">
        <v>21</v>
      </c>
      <c r="AO372" s="15">
        <f>G372*0</f>
        <v>0</v>
      </c>
      <c r="AP372" s="15">
        <f>G372*(1-0)</f>
        <v>0</v>
      </c>
      <c r="AQ372" s="1" t="s">
        <v>461</v>
      </c>
      <c r="AV372" s="15">
        <f>AW372+AX372</f>
        <v>0</v>
      </c>
      <c r="AW372" s="15">
        <f>F372*AO372</f>
        <v>0</v>
      </c>
      <c r="AX372" s="15">
        <f>F372*AP372</f>
        <v>0</v>
      </c>
      <c r="AY372" s="1" t="s">
        <v>376</v>
      </c>
      <c r="AZ372" s="1" t="s">
        <v>114</v>
      </c>
      <c r="BA372" s="52" t="s">
        <v>870</v>
      </c>
      <c r="BC372" s="15">
        <f>AW372+AX372</f>
        <v>0</v>
      </c>
      <c r="BD372" s="15">
        <f>G372/(100-BE372)*100</f>
        <v>0</v>
      </c>
      <c r="BE372" s="15">
        <v>0</v>
      </c>
      <c r="BF372" s="15">
        <f>372</f>
        <v>372</v>
      </c>
      <c r="BH372" s="15">
        <f>F372*AO372</f>
        <v>0</v>
      </c>
      <c r="BI372" s="15">
        <f>F372*AP372</f>
        <v>0</v>
      </c>
      <c r="BJ372" s="15">
        <f>F372*G372</f>
        <v>0</v>
      </c>
      <c r="BK372" s="15"/>
      <c r="BL372" s="15"/>
      <c r="BW372" s="15">
        <v>21</v>
      </c>
    </row>
    <row r="373" spans="1:11" ht="15" customHeight="1">
      <c r="A373" s="53"/>
      <c r="C373" s="66" t="s">
        <v>932</v>
      </c>
      <c r="D373" s="18" t="s">
        <v>577</v>
      </c>
      <c r="F373" s="13">
        <v>61.39000000000001</v>
      </c>
      <c r="K373" s="32"/>
    </row>
    <row r="374" spans="1:75" ht="13.5" customHeight="1">
      <c r="A374" s="7" t="s">
        <v>416</v>
      </c>
      <c r="B374" s="11" t="s">
        <v>549</v>
      </c>
      <c r="C374" s="135" t="s">
        <v>398</v>
      </c>
      <c r="D374" s="130"/>
      <c r="E374" s="11" t="s">
        <v>415</v>
      </c>
      <c r="F374" s="15">
        <v>1166.41</v>
      </c>
      <c r="G374" s="15">
        <v>0</v>
      </c>
      <c r="H374" s="15">
        <f>F374*AO374</f>
        <v>0</v>
      </c>
      <c r="I374" s="15">
        <f>F374*AP374</f>
        <v>0</v>
      </c>
      <c r="J374" s="15">
        <f>F374*G374</f>
        <v>0</v>
      </c>
      <c r="K374" s="12" t="s">
        <v>406</v>
      </c>
      <c r="Z374" s="15">
        <f>IF(AQ374="5",BJ374,0)</f>
        <v>0</v>
      </c>
      <c r="AB374" s="15">
        <f>IF(AQ374="1",BH374,0)</f>
        <v>0</v>
      </c>
      <c r="AC374" s="15">
        <f>IF(AQ374="1",BI374,0)</f>
        <v>0</v>
      </c>
      <c r="AD374" s="15">
        <f>IF(AQ374="7",BH374,0)</f>
        <v>0</v>
      </c>
      <c r="AE374" s="15">
        <f>IF(AQ374="7",BI374,0)</f>
        <v>0</v>
      </c>
      <c r="AF374" s="15">
        <f>IF(AQ374="2",BH374,0)</f>
        <v>0</v>
      </c>
      <c r="AG374" s="15">
        <f>IF(AQ374="2",BI374,0)</f>
        <v>0</v>
      </c>
      <c r="AH374" s="15">
        <f>IF(AQ374="0",BJ374,0)</f>
        <v>0</v>
      </c>
      <c r="AI374" s="52" t="s">
        <v>566</v>
      </c>
      <c r="AJ374" s="15">
        <f>IF(AN374=0,J374,0)</f>
        <v>0</v>
      </c>
      <c r="AK374" s="15">
        <f>IF(AN374=12,J374,0)</f>
        <v>0</v>
      </c>
      <c r="AL374" s="15">
        <f>IF(AN374=21,J374,0)</f>
        <v>0</v>
      </c>
      <c r="AN374" s="15">
        <v>21</v>
      </c>
      <c r="AO374" s="15">
        <f>G374*0</f>
        <v>0</v>
      </c>
      <c r="AP374" s="15">
        <f>G374*(1-0)</f>
        <v>0</v>
      </c>
      <c r="AQ374" s="1" t="s">
        <v>461</v>
      </c>
      <c r="AV374" s="15">
        <f>AW374+AX374</f>
        <v>0</v>
      </c>
      <c r="AW374" s="15">
        <f>F374*AO374</f>
        <v>0</v>
      </c>
      <c r="AX374" s="15">
        <f>F374*AP374</f>
        <v>0</v>
      </c>
      <c r="AY374" s="1" t="s">
        <v>376</v>
      </c>
      <c r="AZ374" s="1" t="s">
        <v>114</v>
      </c>
      <c r="BA374" s="52" t="s">
        <v>870</v>
      </c>
      <c r="BC374" s="15">
        <f>AW374+AX374</f>
        <v>0</v>
      </c>
      <c r="BD374" s="15">
        <f>G374/(100-BE374)*100</f>
        <v>0</v>
      </c>
      <c r="BE374" s="15">
        <v>0</v>
      </c>
      <c r="BF374" s="15">
        <f>374</f>
        <v>374</v>
      </c>
      <c r="BH374" s="15">
        <f>F374*AO374</f>
        <v>0</v>
      </c>
      <c r="BI374" s="15">
        <f>F374*AP374</f>
        <v>0</v>
      </c>
      <c r="BJ374" s="15">
        <f>F374*G374</f>
        <v>0</v>
      </c>
      <c r="BK374" s="15"/>
      <c r="BL374" s="15"/>
      <c r="BW374" s="15">
        <v>21</v>
      </c>
    </row>
    <row r="375" spans="1:11" ht="15" customHeight="1">
      <c r="A375" s="53"/>
      <c r="C375" s="66" t="s">
        <v>23</v>
      </c>
      <c r="D375" s="18" t="s">
        <v>577</v>
      </c>
      <c r="F375" s="13">
        <v>1166.41</v>
      </c>
      <c r="K375" s="32"/>
    </row>
    <row r="376" spans="1:75" ht="13.5" customHeight="1">
      <c r="A376" s="7" t="s">
        <v>382</v>
      </c>
      <c r="B376" s="11" t="s">
        <v>516</v>
      </c>
      <c r="C376" s="135" t="s">
        <v>194</v>
      </c>
      <c r="D376" s="130"/>
      <c r="E376" s="11" t="s">
        <v>415</v>
      </c>
      <c r="F376" s="15">
        <v>7.54</v>
      </c>
      <c r="G376" s="15">
        <v>0</v>
      </c>
      <c r="H376" s="15">
        <f>F376*AO376</f>
        <v>0</v>
      </c>
      <c r="I376" s="15">
        <f>F376*AP376</f>
        <v>0</v>
      </c>
      <c r="J376" s="15">
        <f>F376*G376</f>
        <v>0</v>
      </c>
      <c r="K376" s="12" t="s">
        <v>406</v>
      </c>
      <c r="Z376" s="15">
        <f>IF(AQ376="5",BJ376,0)</f>
        <v>0</v>
      </c>
      <c r="AB376" s="15">
        <f>IF(AQ376="1",BH376,0)</f>
        <v>0</v>
      </c>
      <c r="AC376" s="15">
        <f>IF(AQ376="1",BI376,0)</f>
        <v>0</v>
      </c>
      <c r="AD376" s="15">
        <f>IF(AQ376="7",BH376,0)</f>
        <v>0</v>
      </c>
      <c r="AE376" s="15">
        <f>IF(AQ376="7",BI376,0)</f>
        <v>0</v>
      </c>
      <c r="AF376" s="15">
        <f>IF(AQ376="2",BH376,0)</f>
        <v>0</v>
      </c>
      <c r="AG376" s="15">
        <f>IF(AQ376="2",BI376,0)</f>
        <v>0</v>
      </c>
      <c r="AH376" s="15">
        <f>IF(AQ376="0",BJ376,0)</f>
        <v>0</v>
      </c>
      <c r="AI376" s="52" t="s">
        <v>566</v>
      </c>
      <c r="AJ376" s="15">
        <f>IF(AN376=0,J376,0)</f>
        <v>0</v>
      </c>
      <c r="AK376" s="15">
        <f>IF(AN376=12,J376,0)</f>
        <v>0</v>
      </c>
      <c r="AL376" s="15">
        <f>IF(AN376=21,J376,0)</f>
        <v>0</v>
      </c>
      <c r="AN376" s="15">
        <v>21</v>
      </c>
      <c r="AO376" s="15">
        <f>G376*0</f>
        <v>0</v>
      </c>
      <c r="AP376" s="15">
        <f>G376*(1-0)</f>
        <v>0</v>
      </c>
      <c r="AQ376" s="1" t="s">
        <v>461</v>
      </c>
      <c r="AV376" s="15">
        <f>AW376+AX376</f>
        <v>0</v>
      </c>
      <c r="AW376" s="15">
        <f>F376*AO376</f>
        <v>0</v>
      </c>
      <c r="AX376" s="15">
        <f>F376*AP376</f>
        <v>0</v>
      </c>
      <c r="AY376" s="1" t="s">
        <v>376</v>
      </c>
      <c r="AZ376" s="1" t="s">
        <v>114</v>
      </c>
      <c r="BA376" s="52" t="s">
        <v>870</v>
      </c>
      <c r="BC376" s="15">
        <f>AW376+AX376</f>
        <v>0</v>
      </c>
      <c r="BD376" s="15">
        <f>G376/(100-BE376)*100</f>
        <v>0</v>
      </c>
      <c r="BE376" s="15">
        <v>0</v>
      </c>
      <c r="BF376" s="15">
        <f>376</f>
        <v>376</v>
      </c>
      <c r="BH376" s="15">
        <f>F376*AO376</f>
        <v>0</v>
      </c>
      <c r="BI376" s="15">
        <f>F376*AP376</f>
        <v>0</v>
      </c>
      <c r="BJ376" s="15">
        <f>F376*G376</f>
        <v>0</v>
      </c>
      <c r="BK376" s="15"/>
      <c r="BL376" s="15"/>
      <c r="BW376" s="15">
        <v>21</v>
      </c>
    </row>
    <row r="377" spans="1:11" ht="15" customHeight="1">
      <c r="A377" s="53"/>
      <c r="C377" s="66" t="s">
        <v>486</v>
      </c>
      <c r="D377" s="18" t="s">
        <v>577</v>
      </c>
      <c r="F377" s="13">
        <v>7.540000000000001</v>
      </c>
      <c r="K377" s="32"/>
    </row>
    <row r="378" spans="1:75" ht="13.5" customHeight="1">
      <c r="A378" s="7" t="s">
        <v>164</v>
      </c>
      <c r="B378" s="11" t="s">
        <v>862</v>
      </c>
      <c r="C378" s="135" t="s">
        <v>133</v>
      </c>
      <c r="D378" s="130"/>
      <c r="E378" s="11" t="s">
        <v>415</v>
      </c>
      <c r="F378" s="15">
        <v>1.13</v>
      </c>
      <c r="G378" s="15">
        <v>0</v>
      </c>
      <c r="H378" s="15">
        <f>F378*AO378</f>
        <v>0</v>
      </c>
      <c r="I378" s="15">
        <f>F378*AP378</f>
        <v>0</v>
      </c>
      <c r="J378" s="15">
        <f>F378*G378</f>
        <v>0</v>
      </c>
      <c r="K378" s="12" t="s">
        <v>406</v>
      </c>
      <c r="Z378" s="15">
        <f>IF(AQ378="5",BJ378,0)</f>
        <v>0</v>
      </c>
      <c r="AB378" s="15">
        <f>IF(AQ378="1",BH378,0)</f>
        <v>0</v>
      </c>
      <c r="AC378" s="15">
        <f>IF(AQ378="1",BI378,0)</f>
        <v>0</v>
      </c>
      <c r="AD378" s="15">
        <f>IF(AQ378="7",BH378,0)</f>
        <v>0</v>
      </c>
      <c r="AE378" s="15">
        <f>IF(AQ378="7",BI378,0)</f>
        <v>0</v>
      </c>
      <c r="AF378" s="15">
        <f>IF(AQ378="2",BH378,0)</f>
        <v>0</v>
      </c>
      <c r="AG378" s="15">
        <f>IF(AQ378="2",BI378,0)</f>
        <v>0</v>
      </c>
      <c r="AH378" s="15">
        <f>IF(AQ378="0",BJ378,0)</f>
        <v>0</v>
      </c>
      <c r="AI378" s="52" t="s">
        <v>566</v>
      </c>
      <c r="AJ378" s="15">
        <f>IF(AN378=0,J378,0)</f>
        <v>0</v>
      </c>
      <c r="AK378" s="15">
        <f>IF(AN378=12,J378,0)</f>
        <v>0</v>
      </c>
      <c r="AL378" s="15">
        <f>IF(AN378=21,J378,0)</f>
        <v>0</v>
      </c>
      <c r="AN378" s="15">
        <v>21</v>
      </c>
      <c r="AO378" s="15">
        <f>G378*0</f>
        <v>0</v>
      </c>
      <c r="AP378" s="15">
        <f>G378*(1-0)</f>
        <v>0</v>
      </c>
      <c r="AQ378" s="1" t="s">
        <v>461</v>
      </c>
      <c r="AV378" s="15">
        <f>AW378+AX378</f>
        <v>0</v>
      </c>
      <c r="AW378" s="15">
        <f>F378*AO378</f>
        <v>0</v>
      </c>
      <c r="AX378" s="15">
        <f>F378*AP378</f>
        <v>0</v>
      </c>
      <c r="AY378" s="1" t="s">
        <v>376</v>
      </c>
      <c r="AZ378" s="1" t="s">
        <v>114</v>
      </c>
      <c r="BA378" s="52" t="s">
        <v>870</v>
      </c>
      <c r="BC378" s="15">
        <f>AW378+AX378</f>
        <v>0</v>
      </c>
      <c r="BD378" s="15">
        <f>G378/(100-BE378)*100</f>
        <v>0</v>
      </c>
      <c r="BE378" s="15">
        <v>0</v>
      </c>
      <c r="BF378" s="15">
        <f>378</f>
        <v>378</v>
      </c>
      <c r="BH378" s="15">
        <f>F378*AO378</f>
        <v>0</v>
      </c>
      <c r="BI378" s="15">
        <f>F378*AP378</f>
        <v>0</v>
      </c>
      <c r="BJ378" s="15">
        <f>F378*G378</f>
        <v>0</v>
      </c>
      <c r="BK378" s="15"/>
      <c r="BL378" s="15"/>
      <c r="BW378" s="15">
        <v>21</v>
      </c>
    </row>
    <row r="379" spans="1:75" ht="13.5" customHeight="1">
      <c r="A379" s="7" t="s">
        <v>208</v>
      </c>
      <c r="B379" s="11" t="s">
        <v>343</v>
      </c>
      <c r="C379" s="135" t="s">
        <v>786</v>
      </c>
      <c r="D379" s="130"/>
      <c r="E379" s="11" t="s">
        <v>415</v>
      </c>
      <c r="F379" s="15">
        <v>11.73</v>
      </c>
      <c r="G379" s="15">
        <v>0</v>
      </c>
      <c r="H379" s="15">
        <f>F379*AO379</f>
        <v>0</v>
      </c>
      <c r="I379" s="15">
        <f>F379*AP379</f>
        <v>0</v>
      </c>
      <c r="J379" s="15">
        <f>F379*G379</f>
        <v>0</v>
      </c>
      <c r="K379" s="12" t="s">
        <v>406</v>
      </c>
      <c r="Z379" s="15">
        <f>IF(AQ379="5",BJ379,0)</f>
        <v>0</v>
      </c>
      <c r="AB379" s="15">
        <f>IF(AQ379="1",BH379,0)</f>
        <v>0</v>
      </c>
      <c r="AC379" s="15">
        <f>IF(AQ379="1",BI379,0)</f>
        <v>0</v>
      </c>
      <c r="AD379" s="15">
        <f>IF(AQ379="7",BH379,0)</f>
        <v>0</v>
      </c>
      <c r="AE379" s="15">
        <f>IF(AQ379="7",BI379,0)</f>
        <v>0</v>
      </c>
      <c r="AF379" s="15">
        <f>IF(AQ379="2",BH379,0)</f>
        <v>0</v>
      </c>
      <c r="AG379" s="15">
        <f>IF(AQ379="2",BI379,0)</f>
        <v>0</v>
      </c>
      <c r="AH379" s="15">
        <f>IF(AQ379="0",BJ379,0)</f>
        <v>0</v>
      </c>
      <c r="AI379" s="52" t="s">
        <v>566</v>
      </c>
      <c r="AJ379" s="15">
        <f>IF(AN379=0,J379,0)</f>
        <v>0</v>
      </c>
      <c r="AK379" s="15">
        <f>IF(AN379=12,J379,0)</f>
        <v>0</v>
      </c>
      <c r="AL379" s="15">
        <f>IF(AN379=21,J379,0)</f>
        <v>0</v>
      </c>
      <c r="AN379" s="15">
        <v>21</v>
      </c>
      <c r="AO379" s="15">
        <f>G379*0</f>
        <v>0</v>
      </c>
      <c r="AP379" s="15">
        <f>G379*(1-0)</f>
        <v>0</v>
      </c>
      <c r="AQ379" s="1" t="s">
        <v>461</v>
      </c>
      <c r="AV379" s="15">
        <f>AW379+AX379</f>
        <v>0</v>
      </c>
      <c r="AW379" s="15">
        <f>F379*AO379</f>
        <v>0</v>
      </c>
      <c r="AX379" s="15">
        <f>F379*AP379</f>
        <v>0</v>
      </c>
      <c r="AY379" s="1" t="s">
        <v>376</v>
      </c>
      <c r="AZ379" s="1" t="s">
        <v>114</v>
      </c>
      <c r="BA379" s="52" t="s">
        <v>870</v>
      </c>
      <c r="BC379" s="15">
        <f>AW379+AX379</f>
        <v>0</v>
      </c>
      <c r="BD379" s="15">
        <f>G379/(100-BE379)*100</f>
        <v>0</v>
      </c>
      <c r="BE379" s="15">
        <v>0</v>
      </c>
      <c r="BF379" s="15">
        <f>379</f>
        <v>379</v>
      </c>
      <c r="BH379" s="15">
        <f>F379*AO379</f>
        <v>0</v>
      </c>
      <c r="BI379" s="15">
        <f>F379*AP379</f>
        <v>0</v>
      </c>
      <c r="BJ379" s="15">
        <f>F379*G379</f>
        <v>0</v>
      </c>
      <c r="BK379" s="15"/>
      <c r="BL379" s="15"/>
      <c r="BW379" s="15">
        <v>21</v>
      </c>
    </row>
    <row r="380" spans="1:75" ht="13.5" customHeight="1">
      <c r="A380" s="7" t="s">
        <v>110</v>
      </c>
      <c r="B380" s="11" t="s">
        <v>265</v>
      </c>
      <c r="C380" s="135" t="s">
        <v>241</v>
      </c>
      <c r="D380" s="130"/>
      <c r="E380" s="11" t="s">
        <v>415</v>
      </c>
      <c r="F380" s="15">
        <v>35.99</v>
      </c>
      <c r="G380" s="15">
        <v>0</v>
      </c>
      <c r="H380" s="15">
        <f>F380*AO380</f>
        <v>0</v>
      </c>
      <c r="I380" s="15">
        <f>F380*AP380</f>
        <v>0</v>
      </c>
      <c r="J380" s="15">
        <f>F380*G380</f>
        <v>0</v>
      </c>
      <c r="K380" s="12" t="s">
        <v>406</v>
      </c>
      <c r="Z380" s="15">
        <f>IF(AQ380="5",BJ380,0)</f>
        <v>0</v>
      </c>
      <c r="AB380" s="15">
        <f>IF(AQ380="1",BH380,0)</f>
        <v>0</v>
      </c>
      <c r="AC380" s="15">
        <f>IF(AQ380="1",BI380,0)</f>
        <v>0</v>
      </c>
      <c r="AD380" s="15">
        <f>IF(AQ380="7",BH380,0)</f>
        <v>0</v>
      </c>
      <c r="AE380" s="15">
        <f>IF(AQ380="7",BI380,0)</f>
        <v>0</v>
      </c>
      <c r="AF380" s="15">
        <f>IF(AQ380="2",BH380,0)</f>
        <v>0</v>
      </c>
      <c r="AG380" s="15">
        <f>IF(AQ380="2",BI380,0)</f>
        <v>0</v>
      </c>
      <c r="AH380" s="15">
        <f>IF(AQ380="0",BJ380,0)</f>
        <v>0</v>
      </c>
      <c r="AI380" s="52" t="s">
        <v>566</v>
      </c>
      <c r="AJ380" s="15">
        <f>IF(AN380=0,J380,0)</f>
        <v>0</v>
      </c>
      <c r="AK380" s="15">
        <f>IF(AN380=12,J380,0)</f>
        <v>0</v>
      </c>
      <c r="AL380" s="15">
        <f>IF(AN380=21,J380,0)</f>
        <v>0</v>
      </c>
      <c r="AN380" s="15">
        <v>21</v>
      </c>
      <c r="AO380" s="15">
        <f>G380*0</f>
        <v>0</v>
      </c>
      <c r="AP380" s="15">
        <f>G380*(1-0)</f>
        <v>0</v>
      </c>
      <c r="AQ380" s="1" t="s">
        <v>461</v>
      </c>
      <c r="AV380" s="15">
        <f>AW380+AX380</f>
        <v>0</v>
      </c>
      <c r="AW380" s="15">
        <f>F380*AO380</f>
        <v>0</v>
      </c>
      <c r="AX380" s="15">
        <f>F380*AP380</f>
        <v>0</v>
      </c>
      <c r="AY380" s="1" t="s">
        <v>376</v>
      </c>
      <c r="AZ380" s="1" t="s">
        <v>114</v>
      </c>
      <c r="BA380" s="52" t="s">
        <v>870</v>
      </c>
      <c r="BC380" s="15">
        <f>AW380+AX380</f>
        <v>0</v>
      </c>
      <c r="BD380" s="15">
        <f>G380/(100-BE380)*100</f>
        <v>0</v>
      </c>
      <c r="BE380" s="15">
        <v>0</v>
      </c>
      <c r="BF380" s="15">
        <f>380</f>
        <v>380</v>
      </c>
      <c r="BH380" s="15">
        <f>F380*AO380</f>
        <v>0</v>
      </c>
      <c r="BI380" s="15">
        <f>F380*AP380</f>
        <v>0</v>
      </c>
      <c r="BJ380" s="15">
        <f>F380*G380</f>
        <v>0</v>
      </c>
      <c r="BK380" s="15"/>
      <c r="BL380" s="15"/>
      <c r="BW380" s="15">
        <v>21</v>
      </c>
    </row>
    <row r="381" spans="1:75" ht="13.5" customHeight="1">
      <c r="A381" s="7" t="s">
        <v>136</v>
      </c>
      <c r="B381" s="11" t="s">
        <v>484</v>
      </c>
      <c r="C381" s="135" t="s">
        <v>781</v>
      </c>
      <c r="D381" s="130"/>
      <c r="E381" s="11" t="s">
        <v>415</v>
      </c>
      <c r="F381" s="15">
        <v>5</v>
      </c>
      <c r="G381" s="15">
        <v>0</v>
      </c>
      <c r="H381" s="15">
        <f>F381*AO381</f>
        <v>0</v>
      </c>
      <c r="I381" s="15">
        <f>F381*AP381</f>
        <v>0</v>
      </c>
      <c r="J381" s="15">
        <f>F381*G381</f>
        <v>0</v>
      </c>
      <c r="K381" s="12" t="s">
        <v>406</v>
      </c>
      <c r="Z381" s="15">
        <f>IF(AQ381="5",BJ381,0)</f>
        <v>0</v>
      </c>
      <c r="AB381" s="15">
        <f>IF(AQ381="1",BH381,0)</f>
        <v>0</v>
      </c>
      <c r="AC381" s="15">
        <f>IF(AQ381="1",BI381,0)</f>
        <v>0</v>
      </c>
      <c r="AD381" s="15">
        <f>IF(AQ381="7",BH381,0)</f>
        <v>0</v>
      </c>
      <c r="AE381" s="15">
        <f>IF(AQ381="7",BI381,0)</f>
        <v>0</v>
      </c>
      <c r="AF381" s="15">
        <f>IF(AQ381="2",BH381,0)</f>
        <v>0</v>
      </c>
      <c r="AG381" s="15">
        <f>IF(AQ381="2",BI381,0)</f>
        <v>0</v>
      </c>
      <c r="AH381" s="15">
        <f>IF(AQ381="0",BJ381,0)</f>
        <v>0</v>
      </c>
      <c r="AI381" s="52" t="s">
        <v>566</v>
      </c>
      <c r="AJ381" s="15">
        <f>IF(AN381=0,J381,0)</f>
        <v>0</v>
      </c>
      <c r="AK381" s="15">
        <f>IF(AN381=12,J381,0)</f>
        <v>0</v>
      </c>
      <c r="AL381" s="15">
        <f>IF(AN381=21,J381,0)</f>
        <v>0</v>
      </c>
      <c r="AN381" s="15">
        <v>21</v>
      </c>
      <c r="AO381" s="15">
        <f>G381*0</f>
        <v>0</v>
      </c>
      <c r="AP381" s="15">
        <f>G381*(1-0)</f>
        <v>0</v>
      </c>
      <c r="AQ381" s="1" t="s">
        <v>461</v>
      </c>
      <c r="AV381" s="15">
        <f>AW381+AX381</f>
        <v>0</v>
      </c>
      <c r="AW381" s="15">
        <f>F381*AO381</f>
        <v>0</v>
      </c>
      <c r="AX381" s="15">
        <f>F381*AP381</f>
        <v>0</v>
      </c>
      <c r="AY381" s="1" t="s">
        <v>376</v>
      </c>
      <c r="AZ381" s="1" t="s">
        <v>114</v>
      </c>
      <c r="BA381" s="52" t="s">
        <v>870</v>
      </c>
      <c r="BC381" s="15">
        <f>AW381+AX381</f>
        <v>0</v>
      </c>
      <c r="BD381" s="15">
        <f>G381/(100-BE381)*100</f>
        <v>0</v>
      </c>
      <c r="BE381" s="15">
        <v>0</v>
      </c>
      <c r="BF381" s="15">
        <f>381</f>
        <v>381</v>
      </c>
      <c r="BH381" s="15">
        <f>F381*AO381</f>
        <v>0</v>
      </c>
      <c r="BI381" s="15">
        <f>F381*AP381</f>
        <v>0</v>
      </c>
      <c r="BJ381" s="15">
        <f>F381*G381</f>
        <v>0</v>
      </c>
      <c r="BK381" s="15"/>
      <c r="BL381" s="15"/>
      <c r="BW381" s="15">
        <v>21</v>
      </c>
    </row>
    <row r="382" spans="1:11" ht="15" customHeight="1">
      <c r="A382" s="4" t="s">
        <v>577</v>
      </c>
      <c r="B382" s="25" t="s">
        <v>577</v>
      </c>
      <c r="C382" s="200" t="s">
        <v>590</v>
      </c>
      <c r="D382" s="209"/>
      <c r="E382" s="48" t="s">
        <v>774</v>
      </c>
      <c r="F382" s="48" t="s">
        <v>774</v>
      </c>
      <c r="G382" s="48" t="s">
        <v>774</v>
      </c>
      <c r="H382" s="6">
        <f>H383</f>
        <v>0</v>
      </c>
      <c r="I382" s="6">
        <f>I383</f>
        <v>0</v>
      </c>
      <c r="J382" s="6">
        <f>J383</f>
        <v>0</v>
      </c>
      <c r="K382" s="79" t="s">
        <v>577</v>
      </c>
    </row>
    <row r="383" spans="1:47" ht="15" customHeight="1">
      <c r="A383" s="17" t="s">
        <v>577</v>
      </c>
      <c r="B383" s="20" t="s">
        <v>577</v>
      </c>
      <c r="C383" s="201" t="s">
        <v>159</v>
      </c>
      <c r="D383" s="210"/>
      <c r="E383" s="14" t="s">
        <v>774</v>
      </c>
      <c r="F383" s="14" t="s">
        <v>774</v>
      </c>
      <c r="G383" s="14" t="s">
        <v>774</v>
      </c>
      <c r="H383" s="68">
        <f>SUM(H384:H421)</f>
        <v>0</v>
      </c>
      <c r="I383" s="68">
        <f>SUM(I384:I421)</f>
        <v>0</v>
      </c>
      <c r="J383" s="68">
        <f>SUM(J384:J421)</f>
        <v>0</v>
      </c>
      <c r="K383" s="42" t="s">
        <v>577</v>
      </c>
      <c r="AI383" s="52" t="s">
        <v>901</v>
      </c>
      <c r="AS383" s="68">
        <f>SUM(AJ384:AJ421)</f>
        <v>0</v>
      </c>
      <c r="AT383" s="68">
        <f>SUM(AK384:AK421)</f>
        <v>0</v>
      </c>
      <c r="AU383" s="68">
        <f>SUM(AL384:AL421)</f>
        <v>0</v>
      </c>
    </row>
    <row r="384" spans="1:75" ht="13.5" customHeight="1">
      <c r="A384" s="7" t="s">
        <v>784</v>
      </c>
      <c r="B384" s="11" t="s">
        <v>708</v>
      </c>
      <c r="C384" s="135" t="s">
        <v>500</v>
      </c>
      <c r="D384" s="130"/>
      <c r="E384" s="11" t="s">
        <v>695</v>
      </c>
      <c r="F384" s="15">
        <v>36</v>
      </c>
      <c r="G384" s="15">
        <v>0</v>
      </c>
      <c r="H384" s="15">
        <f aca="true" t="shared" si="0" ref="H384:H415">F384*AO384</f>
        <v>0</v>
      </c>
      <c r="I384" s="15">
        <f aca="true" t="shared" si="1" ref="I384:I415">F384*AP384</f>
        <v>0</v>
      </c>
      <c r="J384" s="15">
        <f aca="true" t="shared" si="2" ref="J384:J415">F384*G384</f>
        <v>0</v>
      </c>
      <c r="K384" s="12" t="s">
        <v>577</v>
      </c>
      <c r="Z384" s="15">
        <f aca="true" t="shared" si="3" ref="Z384:Z415">IF(AQ384="5",BJ384,0)</f>
        <v>0</v>
      </c>
      <c r="AB384" s="15">
        <f aca="true" t="shared" si="4" ref="AB384:AB415">IF(AQ384="1",BH384,0)</f>
        <v>0</v>
      </c>
      <c r="AC384" s="15">
        <f aca="true" t="shared" si="5" ref="AC384:AC415">IF(AQ384="1",BI384,0)</f>
        <v>0</v>
      </c>
      <c r="AD384" s="15">
        <f aca="true" t="shared" si="6" ref="AD384:AD415">IF(AQ384="7",BH384,0)</f>
        <v>0</v>
      </c>
      <c r="AE384" s="15">
        <f aca="true" t="shared" si="7" ref="AE384:AE415">IF(AQ384="7",BI384,0)</f>
        <v>0</v>
      </c>
      <c r="AF384" s="15">
        <f aca="true" t="shared" si="8" ref="AF384:AF415">IF(AQ384="2",BH384,0)</f>
        <v>0</v>
      </c>
      <c r="AG384" s="15">
        <f aca="true" t="shared" si="9" ref="AG384:AG415">IF(AQ384="2",BI384,0)</f>
        <v>0</v>
      </c>
      <c r="AH384" s="15">
        <f aca="true" t="shared" si="10" ref="AH384:AH415">IF(AQ384="0",BJ384,0)</f>
        <v>0</v>
      </c>
      <c r="AI384" s="52" t="s">
        <v>901</v>
      </c>
      <c r="AJ384" s="15">
        <f aca="true" t="shared" si="11" ref="AJ384:AJ415">IF(AN384=0,J384,0)</f>
        <v>0</v>
      </c>
      <c r="AK384" s="15">
        <f aca="true" t="shared" si="12" ref="AK384:AK415">IF(AN384=12,J384,0)</f>
        <v>0</v>
      </c>
      <c r="AL384" s="15">
        <f aca="true" t="shared" si="13" ref="AL384:AL415">IF(AN384=21,J384,0)</f>
        <v>0</v>
      </c>
      <c r="AN384" s="15">
        <v>21</v>
      </c>
      <c r="AO384" s="15">
        <f aca="true" t="shared" si="14" ref="AO384:AO415">G384*0</f>
        <v>0</v>
      </c>
      <c r="AP384" s="15">
        <f aca="true" t="shared" si="15" ref="AP384:AP415">G384*(1-0)</f>
        <v>0</v>
      </c>
      <c r="AQ384" s="1" t="s">
        <v>829</v>
      </c>
      <c r="AV384" s="15">
        <f aca="true" t="shared" si="16" ref="AV384:AV415">AW384+AX384</f>
        <v>0</v>
      </c>
      <c r="AW384" s="15">
        <f aca="true" t="shared" si="17" ref="AW384:AW415">F384*AO384</f>
        <v>0</v>
      </c>
      <c r="AX384" s="15">
        <f aca="true" t="shared" si="18" ref="AX384:AX415">F384*AP384</f>
        <v>0</v>
      </c>
      <c r="AY384" s="1" t="s">
        <v>654</v>
      </c>
      <c r="AZ384" s="1" t="s">
        <v>299</v>
      </c>
      <c r="BA384" s="52" t="s">
        <v>56</v>
      </c>
      <c r="BC384" s="15">
        <f aca="true" t="shared" si="19" ref="BC384:BC415">AW384+AX384</f>
        <v>0</v>
      </c>
      <c r="BD384" s="15">
        <f aca="true" t="shared" si="20" ref="BD384:BD415">G384/(100-BE384)*100</f>
        <v>0</v>
      </c>
      <c r="BE384" s="15">
        <v>0</v>
      </c>
      <c r="BF384" s="15">
        <f>384</f>
        <v>384</v>
      </c>
      <c r="BH384" s="15">
        <f aca="true" t="shared" si="21" ref="BH384:BH415">F384*AO384</f>
        <v>0</v>
      </c>
      <c r="BI384" s="15">
        <f aca="true" t="shared" si="22" ref="BI384:BI415">F384*AP384</f>
        <v>0</v>
      </c>
      <c r="BJ384" s="15">
        <f aca="true" t="shared" si="23" ref="BJ384:BJ415">F384*G384</f>
        <v>0</v>
      </c>
      <c r="BK384" s="15"/>
      <c r="BL384" s="15"/>
      <c r="BW384" s="15">
        <v>21</v>
      </c>
    </row>
    <row r="385" spans="1:75" ht="13.5" customHeight="1">
      <c r="A385" s="7" t="s">
        <v>608</v>
      </c>
      <c r="B385" s="11" t="s">
        <v>552</v>
      </c>
      <c r="C385" s="135" t="s">
        <v>609</v>
      </c>
      <c r="D385" s="130"/>
      <c r="E385" s="11" t="s">
        <v>695</v>
      </c>
      <c r="F385" s="15">
        <v>120</v>
      </c>
      <c r="G385" s="15">
        <v>0</v>
      </c>
      <c r="H385" s="15">
        <f t="shared" si="0"/>
        <v>0</v>
      </c>
      <c r="I385" s="15">
        <f t="shared" si="1"/>
        <v>0</v>
      </c>
      <c r="J385" s="15">
        <f t="shared" si="2"/>
        <v>0</v>
      </c>
      <c r="K385" s="12" t="s">
        <v>577</v>
      </c>
      <c r="Z385" s="15">
        <f t="shared" si="3"/>
        <v>0</v>
      </c>
      <c r="AB385" s="15">
        <f t="shared" si="4"/>
        <v>0</v>
      </c>
      <c r="AC385" s="15">
        <f t="shared" si="5"/>
        <v>0</v>
      </c>
      <c r="AD385" s="15">
        <f t="shared" si="6"/>
        <v>0</v>
      </c>
      <c r="AE385" s="15">
        <f t="shared" si="7"/>
        <v>0</v>
      </c>
      <c r="AF385" s="15">
        <f t="shared" si="8"/>
        <v>0</v>
      </c>
      <c r="AG385" s="15">
        <f t="shared" si="9"/>
        <v>0</v>
      </c>
      <c r="AH385" s="15">
        <f t="shared" si="10"/>
        <v>0</v>
      </c>
      <c r="AI385" s="52" t="s">
        <v>901</v>
      </c>
      <c r="AJ385" s="15">
        <f t="shared" si="11"/>
        <v>0</v>
      </c>
      <c r="AK385" s="15">
        <f t="shared" si="12"/>
        <v>0</v>
      </c>
      <c r="AL385" s="15">
        <f t="shared" si="13"/>
        <v>0</v>
      </c>
      <c r="AN385" s="15">
        <v>21</v>
      </c>
      <c r="AO385" s="15">
        <f t="shared" si="14"/>
        <v>0</v>
      </c>
      <c r="AP385" s="15">
        <f t="shared" si="15"/>
        <v>0</v>
      </c>
      <c r="AQ385" s="1" t="s">
        <v>829</v>
      </c>
      <c r="AV385" s="15">
        <f t="shared" si="16"/>
        <v>0</v>
      </c>
      <c r="AW385" s="15">
        <f t="shared" si="17"/>
        <v>0</v>
      </c>
      <c r="AX385" s="15">
        <f t="shared" si="18"/>
        <v>0</v>
      </c>
      <c r="AY385" s="1" t="s">
        <v>654</v>
      </c>
      <c r="AZ385" s="1" t="s">
        <v>299</v>
      </c>
      <c r="BA385" s="52" t="s">
        <v>56</v>
      </c>
      <c r="BC385" s="15">
        <f t="shared" si="19"/>
        <v>0</v>
      </c>
      <c r="BD385" s="15">
        <f t="shared" si="20"/>
        <v>0</v>
      </c>
      <c r="BE385" s="15">
        <v>0</v>
      </c>
      <c r="BF385" s="15">
        <f>385</f>
        <v>385</v>
      </c>
      <c r="BH385" s="15">
        <f t="shared" si="21"/>
        <v>0</v>
      </c>
      <c r="BI385" s="15">
        <f t="shared" si="22"/>
        <v>0</v>
      </c>
      <c r="BJ385" s="15">
        <f t="shared" si="23"/>
        <v>0</v>
      </c>
      <c r="BK385" s="15"/>
      <c r="BL385" s="15"/>
      <c r="BW385" s="15">
        <v>21</v>
      </c>
    </row>
    <row r="386" spans="1:75" ht="13.5" customHeight="1">
      <c r="A386" s="7" t="s">
        <v>432</v>
      </c>
      <c r="B386" s="11" t="s">
        <v>640</v>
      </c>
      <c r="C386" s="135" t="s">
        <v>172</v>
      </c>
      <c r="D386" s="130"/>
      <c r="E386" s="11" t="s">
        <v>581</v>
      </c>
      <c r="F386" s="15">
        <v>12</v>
      </c>
      <c r="G386" s="15">
        <v>0</v>
      </c>
      <c r="H386" s="15">
        <f t="shared" si="0"/>
        <v>0</v>
      </c>
      <c r="I386" s="15">
        <f t="shared" si="1"/>
        <v>0</v>
      </c>
      <c r="J386" s="15">
        <f t="shared" si="2"/>
        <v>0</v>
      </c>
      <c r="K386" s="12" t="s">
        <v>577</v>
      </c>
      <c r="Z386" s="15">
        <f t="shared" si="3"/>
        <v>0</v>
      </c>
      <c r="AB386" s="15">
        <f t="shared" si="4"/>
        <v>0</v>
      </c>
      <c r="AC386" s="15">
        <f t="shared" si="5"/>
        <v>0</v>
      </c>
      <c r="AD386" s="15">
        <f t="shared" si="6"/>
        <v>0</v>
      </c>
      <c r="AE386" s="15">
        <f t="shared" si="7"/>
        <v>0</v>
      </c>
      <c r="AF386" s="15">
        <f t="shared" si="8"/>
        <v>0</v>
      </c>
      <c r="AG386" s="15">
        <f t="shared" si="9"/>
        <v>0</v>
      </c>
      <c r="AH386" s="15">
        <f t="shared" si="10"/>
        <v>0</v>
      </c>
      <c r="AI386" s="52" t="s">
        <v>901</v>
      </c>
      <c r="AJ386" s="15">
        <f t="shared" si="11"/>
        <v>0</v>
      </c>
      <c r="AK386" s="15">
        <f t="shared" si="12"/>
        <v>0</v>
      </c>
      <c r="AL386" s="15">
        <f t="shared" si="13"/>
        <v>0</v>
      </c>
      <c r="AN386" s="15">
        <v>21</v>
      </c>
      <c r="AO386" s="15">
        <f t="shared" si="14"/>
        <v>0</v>
      </c>
      <c r="AP386" s="15">
        <f t="shared" si="15"/>
        <v>0</v>
      </c>
      <c r="AQ386" s="1" t="s">
        <v>829</v>
      </c>
      <c r="AV386" s="15">
        <f t="shared" si="16"/>
        <v>0</v>
      </c>
      <c r="AW386" s="15">
        <f t="shared" si="17"/>
        <v>0</v>
      </c>
      <c r="AX386" s="15">
        <f t="shared" si="18"/>
        <v>0</v>
      </c>
      <c r="AY386" s="1" t="s">
        <v>654</v>
      </c>
      <c r="AZ386" s="1" t="s">
        <v>299</v>
      </c>
      <c r="BA386" s="52" t="s">
        <v>56</v>
      </c>
      <c r="BC386" s="15">
        <f t="shared" si="19"/>
        <v>0</v>
      </c>
      <c r="BD386" s="15">
        <f t="shared" si="20"/>
        <v>0</v>
      </c>
      <c r="BE386" s="15">
        <v>0</v>
      </c>
      <c r="BF386" s="15">
        <f>386</f>
        <v>386</v>
      </c>
      <c r="BH386" s="15">
        <f t="shared" si="21"/>
        <v>0</v>
      </c>
      <c r="BI386" s="15">
        <f t="shared" si="22"/>
        <v>0</v>
      </c>
      <c r="BJ386" s="15">
        <f t="shared" si="23"/>
        <v>0</v>
      </c>
      <c r="BK386" s="15"/>
      <c r="BL386" s="15"/>
      <c r="BW386" s="15">
        <v>21</v>
      </c>
    </row>
    <row r="387" spans="1:75" ht="13.5" customHeight="1">
      <c r="A387" s="7" t="s">
        <v>607</v>
      </c>
      <c r="B387" s="11" t="s">
        <v>362</v>
      </c>
      <c r="C387" s="135" t="s">
        <v>754</v>
      </c>
      <c r="D387" s="130"/>
      <c r="E387" s="11" t="s">
        <v>581</v>
      </c>
      <c r="F387" s="15">
        <v>7</v>
      </c>
      <c r="G387" s="15">
        <v>0</v>
      </c>
      <c r="H387" s="15">
        <f t="shared" si="0"/>
        <v>0</v>
      </c>
      <c r="I387" s="15">
        <f t="shared" si="1"/>
        <v>0</v>
      </c>
      <c r="J387" s="15">
        <f t="shared" si="2"/>
        <v>0</v>
      </c>
      <c r="K387" s="12" t="s">
        <v>577</v>
      </c>
      <c r="Z387" s="15">
        <f t="shared" si="3"/>
        <v>0</v>
      </c>
      <c r="AB387" s="15">
        <f t="shared" si="4"/>
        <v>0</v>
      </c>
      <c r="AC387" s="15">
        <f t="shared" si="5"/>
        <v>0</v>
      </c>
      <c r="AD387" s="15">
        <f t="shared" si="6"/>
        <v>0</v>
      </c>
      <c r="AE387" s="15">
        <f t="shared" si="7"/>
        <v>0</v>
      </c>
      <c r="AF387" s="15">
        <f t="shared" si="8"/>
        <v>0</v>
      </c>
      <c r="AG387" s="15">
        <f t="shared" si="9"/>
        <v>0</v>
      </c>
      <c r="AH387" s="15">
        <f t="shared" si="10"/>
        <v>0</v>
      </c>
      <c r="AI387" s="52" t="s">
        <v>901</v>
      </c>
      <c r="AJ387" s="15">
        <f t="shared" si="11"/>
        <v>0</v>
      </c>
      <c r="AK387" s="15">
        <f t="shared" si="12"/>
        <v>0</v>
      </c>
      <c r="AL387" s="15">
        <f t="shared" si="13"/>
        <v>0</v>
      </c>
      <c r="AN387" s="15">
        <v>21</v>
      </c>
      <c r="AO387" s="15">
        <f t="shared" si="14"/>
        <v>0</v>
      </c>
      <c r="AP387" s="15">
        <f t="shared" si="15"/>
        <v>0</v>
      </c>
      <c r="AQ387" s="1" t="s">
        <v>829</v>
      </c>
      <c r="AV387" s="15">
        <f t="shared" si="16"/>
        <v>0</v>
      </c>
      <c r="AW387" s="15">
        <f t="shared" si="17"/>
        <v>0</v>
      </c>
      <c r="AX387" s="15">
        <f t="shared" si="18"/>
        <v>0</v>
      </c>
      <c r="AY387" s="1" t="s">
        <v>654</v>
      </c>
      <c r="AZ387" s="1" t="s">
        <v>299</v>
      </c>
      <c r="BA387" s="52" t="s">
        <v>56</v>
      </c>
      <c r="BC387" s="15">
        <f t="shared" si="19"/>
        <v>0</v>
      </c>
      <c r="BD387" s="15">
        <f t="shared" si="20"/>
        <v>0</v>
      </c>
      <c r="BE387" s="15">
        <v>0</v>
      </c>
      <c r="BF387" s="15">
        <f>387</f>
        <v>387</v>
      </c>
      <c r="BH387" s="15">
        <f t="shared" si="21"/>
        <v>0</v>
      </c>
      <c r="BI387" s="15">
        <f t="shared" si="22"/>
        <v>0</v>
      </c>
      <c r="BJ387" s="15">
        <f t="shared" si="23"/>
        <v>0</v>
      </c>
      <c r="BK387" s="15"/>
      <c r="BL387" s="15"/>
      <c r="BW387" s="15">
        <v>21</v>
      </c>
    </row>
    <row r="388" spans="1:75" ht="13.5" customHeight="1">
      <c r="A388" s="7" t="s">
        <v>301</v>
      </c>
      <c r="B388" s="11" t="s">
        <v>492</v>
      </c>
      <c r="C388" s="135" t="s">
        <v>46</v>
      </c>
      <c r="D388" s="130"/>
      <c r="E388" s="11" t="s">
        <v>581</v>
      </c>
      <c r="F388" s="15">
        <v>2</v>
      </c>
      <c r="G388" s="15">
        <v>0</v>
      </c>
      <c r="H388" s="15">
        <f t="shared" si="0"/>
        <v>0</v>
      </c>
      <c r="I388" s="15">
        <f t="shared" si="1"/>
        <v>0</v>
      </c>
      <c r="J388" s="15">
        <f t="shared" si="2"/>
        <v>0</v>
      </c>
      <c r="K388" s="12" t="s">
        <v>577</v>
      </c>
      <c r="Z388" s="15">
        <f t="shared" si="3"/>
        <v>0</v>
      </c>
      <c r="AB388" s="15">
        <f t="shared" si="4"/>
        <v>0</v>
      </c>
      <c r="AC388" s="15">
        <f t="shared" si="5"/>
        <v>0</v>
      </c>
      <c r="AD388" s="15">
        <f t="shared" si="6"/>
        <v>0</v>
      </c>
      <c r="AE388" s="15">
        <f t="shared" si="7"/>
        <v>0</v>
      </c>
      <c r="AF388" s="15">
        <f t="shared" si="8"/>
        <v>0</v>
      </c>
      <c r="AG388" s="15">
        <f t="shared" si="9"/>
        <v>0</v>
      </c>
      <c r="AH388" s="15">
        <f t="shared" si="10"/>
        <v>0</v>
      </c>
      <c r="AI388" s="52" t="s">
        <v>901</v>
      </c>
      <c r="AJ388" s="15">
        <f t="shared" si="11"/>
        <v>0</v>
      </c>
      <c r="AK388" s="15">
        <f t="shared" si="12"/>
        <v>0</v>
      </c>
      <c r="AL388" s="15">
        <f t="shared" si="13"/>
        <v>0</v>
      </c>
      <c r="AN388" s="15">
        <v>21</v>
      </c>
      <c r="AO388" s="15">
        <f t="shared" si="14"/>
        <v>0</v>
      </c>
      <c r="AP388" s="15">
        <f t="shared" si="15"/>
        <v>0</v>
      </c>
      <c r="AQ388" s="1" t="s">
        <v>829</v>
      </c>
      <c r="AV388" s="15">
        <f t="shared" si="16"/>
        <v>0</v>
      </c>
      <c r="AW388" s="15">
        <f t="shared" si="17"/>
        <v>0</v>
      </c>
      <c r="AX388" s="15">
        <f t="shared" si="18"/>
        <v>0</v>
      </c>
      <c r="AY388" s="1" t="s">
        <v>654</v>
      </c>
      <c r="AZ388" s="1" t="s">
        <v>299</v>
      </c>
      <c r="BA388" s="52" t="s">
        <v>56</v>
      </c>
      <c r="BC388" s="15">
        <f t="shared" si="19"/>
        <v>0</v>
      </c>
      <c r="BD388" s="15">
        <f t="shared" si="20"/>
        <v>0</v>
      </c>
      <c r="BE388" s="15">
        <v>0</v>
      </c>
      <c r="BF388" s="15">
        <f>388</f>
        <v>388</v>
      </c>
      <c r="BH388" s="15">
        <f t="shared" si="21"/>
        <v>0</v>
      </c>
      <c r="BI388" s="15">
        <f t="shared" si="22"/>
        <v>0</v>
      </c>
      <c r="BJ388" s="15">
        <f t="shared" si="23"/>
        <v>0</v>
      </c>
      <c r="BK388" s="15"/>
      <c r="BL388" s="15"/>
      <c r="BW388" s="15">
        <v>21</v>
      </c>
    </row>
    <row r="389" spans="1:75" ht="13.5" customHeight="1">
      <c r="A389" s="7" t="s">
        <v>411</v>
      </c>
      <c r="B389" s="11" t="s">
        <v>888</v>
      </c>
      <c r="C389" s="135" t="s">
        <v>821</v>
      </c>
      <c r="D389" s="130"/>
      <c r="E389" s="11" t="s">
        <v>581</v>
      </c>
      <c r="F389" s="15">
        <v>4</v>
      </c>
      <c r="G389" s="15">
        <v>0</v>
      </c>
      <c r="H389" s="15">
        <f t="shared" si="0"/>
        <v>0</v>
      </c>
      <c r="I389" s="15">
        <f t="shared" si="1"/>
        <v>0</v>
      </c>
      <c r="J389" s="15">
        <f t="shared" si="2"/>
        <v>0</v>
      </c>
      <c r="K389" s="12" t="s">
        <v>577</v>
      </c>
      <c r="Z389" s="15">
        <f t="shared" si="3"/>
        <v>0</v>
      </c>
      <c r="AB389" s="15">
        <f t="shared" si="4"/>
        <v>0</v>
      </c>
      <c r="AC389" s="15">
        <f t="shared" si="5"/>
        <v>0</v>
      </c>
      <c r="AD389" s="15">
        <f t="shared" si="6"/>
        <v>0</v>
      </c>
      <c r="AE389" s="15">
        <f t="shared" si="7"/>
        <v>0</v>
      </c>
      <c r="AF389" s="15">
        <f t="shared" si="8"/>
        <v>0</v>
      </c>
      <c r="AG389" s="15">
        <f t="shared" si="9"/>
        <v>0</v>
      </c>
      <c r="AH389" s="15">
        <f t="shared" si="10"/>
        <v>0</v>
      </c>
      <c r="AI389" s="52" t="s">
        <v>901</v>
      </c>
      <c r="AJ389" s="15">
        <f t="shared" si="11"/>
        <v>0</v>
      </c>
      <c r="AK389" s="15">
        <f t="shared" si="12"/>
        <v>0</v>
      </c>
      <c r="AL389" s="15">
        <f t="shared" si="13"/>
        <v>0</v>
      </c>
      <c r="AN389" s="15">
        <v>21</v>
      </c>
      <c r="AO389" s="15">
        <f t="shared" si="14"/>
        <v>0</v>
      </c>
      <c r="AP389" s="15">
        <f t="shared" si="15"/>
        <v>0</v>
      </c>
      <c r="AQ389" s="1" t="s">
        <v>829</v>
      </c>
      <c r="AV389" s="15">
        <f t="shared" si="16"/>
        <v>0</v>
      </c>
      <c r="AW389" s="15">
        <f t="shared" si="17"/>
        <v>0</v>
      </c>
      <c r="AX389" s="15">
        <f t="shared" si="18"/>
        <v>0</v>
      </c>
      <c r="AY389" s="1" t="s">
        <v>654</v>
      </c>
      <c r="AZ389" s="1" t="s">
        <v>299</v>
      </c>
      <c r="BA389" s="52" t="s">
        <v>56</v>
      </c>
      <c r="BC389" s="15">
        <f t="shared" si="19"/>
        <v>0</v>
      </c>
      <c r="BD389" s="15">
        <f t="shared" si="20"/>
        <v>0</v>
      </c>
      <c r="BE389" s="15">
        <v>0</v>
      </c>
      <c r="BF389" s="15">
        <f>389</f>
        <v>389</v>
      </c>
      <c r="BH389" s="15">
        <f t="shared" si="21"/>
        <v>0</v>
      </c>
      <c r="BI389" s="15">
        <f t="shared" si="22"/>
        <v>0</v>
      </c>
      <c r="BJ389" s="15">
        <f t="shared" si="23"/>
        <v>0</v>
      </c>
      <c r="BK389" s="15"/>
      <c r="BL389" s="15"/>
      <c r="BW389" s="15">
        <v>21</v>
      </c>
    </row>
    <row r="390" spans="1:75" ht="13.5" customHeight="1">
      <c r="A390" s="7" t="s">
        <v>269</v>
      </c>
      <c r="B390" s="11" t="s">
        <v>792</v>
      </c>
      <c r="C390" s="135" t="s">
        <v>934</v>
      </c>
      <c r="D390" s="130"/>
      <c r="E390" s="11" t="s">
        <v>581</v>
      </c>
      <c r="F390" s="15">
        <v>35</v>
      </c>
      <c r="G390" s="15">
        <v>0</v>
      </c>
      <c r="H390" s="15">
        <f t="shared" si="0"/>
        <v>0</v>
      </c>
      <c r="I390" s="15">
        <f t="shared" si="1"/>
        <v>0</v>
      </c>
      <c r="J390" s="15">
        <f t="shared" si="2"/>
        <v>0</v>
      </c>
      <c r="K390" s="12" t="s">
        <v>577</v>
      </c>
      <c r="Z390" s="15">
        <f t="shared" si="3"/>
        <v>0</v>
      </c>
      <c r="AB390" s="15">
        <f t="shared" si="4"/>
        <v>0</v>
      </c>
      <c r="AC390" s="15">
        <f t="shared" si="5"/>
        <v>0</v>
      </c>
      <c r="AD390" s="15">
        <f t="shared" si="6"/>
        <v>0</v>
      </c>
      <c r="AE390" s="15">
        <f t="shared" si="7"/>
        <v>0</v>
      </c>
      <c r="AF390" s="15">
        <f t="shared" si="8"/>
        <v>0</v>
      </c>
      <c r="AG390" s="15">
        <f t="shared" si="9"/>
        <v>0</v>
      </c>
      <c r="AH390" s="15">
        <f t="shared" si="10"/>
        <v>0</v>
      </c>
      <c r="AI390" s="52" t="s">
        <v>901</v>
      </c>
      <c r="AJ390" s="15">
        <f t="shared" si="11"/>
        <v>0</v>
      </c>
      <c r="AK390" s="15">
        <f t="shared" si="12"/>
        <v>0</v>
      </c>
      <c r="AL390" s="15">
        <f t="shared" si="13"/>
        <v>0</v>
      </c>
      <c r="AN390" s="15">
        <v>21</v>
      </c>
      <c r="AO390" s="15">
        <f t="shared" si="14"/>
        <v>0</v>
      </c>
      <c r="AP390" s="15">
        <f t="shared" si="15"/>
        <v>0</v>
      </c>
      <c r="AQ390" s="1" t="s">
        <v>829</v>
      </c>
      <c r="AV390" s="15">
        <f t="shared" si="16"/>
        <v>0</v>
      </c>
      <c r="AW390" s="15">
        <f t="shared" si="17"/>
        <v>0</v>
      </c>
      <c r="AX390" s="15">
        <f t="shared" si="18"/>
        <v>0</v>
      </c>
      <c r="AY390" s="1" t="s">
        <v>654</v>
      </c>
      <c r="AZ390" s="1" t="s">
        <v>299</v>
      </c>
      <c r="BA390" s="52" t="s">
        <v>56</v>
      </c>
      <c r="BC390" s="15">
        <f t="shared" si="19"/>
        <v>0</v>
      </c>
      <c r="BD390" s="15">
        <f t="shared" si="20"/>
        <v>0</v>
      </c>
      <c r="BE390" s="15">
        <v>0</v>
      </c>
      <c r="BF390" s="15">
        <f>390</f>
        <v>390</v>
      </c>
      <c r="BH390" s="15">
        <f t="shared" si="21"/>
        <v>0</v>
      </c>
      <c r="BI390" s="15">
        <f t="shared" si="22"/>
        <v>0</v>
      </c>
      <c r="BJ390" s="15">
        <f t="shared" si="23"/>
        <v>0</v>
      </c>
      <c r="BK390" s="15"/>
      <c r="BL390" s="15"/>
      <c r="BW390" s="15">
        <v>21</v>
      </c>
    </row>
    <row r="391" spans="1:75" ht="13.5" customHeight="1">
      <c r="A391" s="7" t="s">
        <v>251</v>
      </c>
      <c r="B391" s="11" t="s">
        <v>499</v>
      </c>
      <c r="C391" s="135" t="s">
        <v>925</v>
      </c>
      <c r="D391" s="130"/>
      <c r="E391" s="11" t="s">
        <v>581</v>
      </c>
      <c r="F391" s="15">
        <v>8</v>
      </c>
      <c r="G391" s="15">
        <v>0</v>
      </c>
      <c r="H391" s="15">
        <f t="shared" si="0"/>
        <v>0</v>
      </c>
      <c r="I391" s="15">
        <f t="shared" si="1"/>
        <v>0</v>
      </c>
      <c r="J391" s="15">
        <f t="shared" si="2"/>
        <v>0</v>
      </c>
      <c r="K391" s="12" t="s">
        <v>577</v>
      </c>
      <c r="Z391" s="15">
        <f t="shared" si="3"/>
        <v>0</v>
      </c>
      <c r="AB391" s="15">
        <f t="shared" si="4"/>
        <v>0</v>
      </c>
      <c r="AC391" s="15">
        <f t="shared" si="5"/>
        <v>0</v>
      </c>
      <c r="AD391" s="15">
        <f t="shared" si="6"/>
        <v>0</v>
      </c>
      <c r="AE391" s="15">
        <f t="shared" si="7"/>
        <v>0</v>
      </c>
      <c r="AF391" s="15">
        <f t="shared" si="8"/>
        <v>0</v>
      </c>
      <c r="AG391" s="15">
        <f t="shared" si="9"/>
        <v>0</v>
      </c>
      <c r="AH391" s="15">
        <f t="shared" si="10"/>
        <v>0</v>
      </c>
      <c r="AI391" s="52" t="s">
        <v>901</v>
      </c>
      <c r="AJ391" s="15">
        <f t="shared" si="11"/>
        <v>0</v>
      </c>
      <c r="AK391" s="15">
        <f t="shared" si="12"/>
        <v>0</v>
      </c>
      <c r="AL391" s="15">
        <f t="shared" si="13"/>
        <v>0</v>
      </c>
      <c r="AN391" s="15">
        <v>21</v>
      </c>
      <c r="AO391" s="15">
        <f t="shared" si="14"/>
        <v>0</v>
      </c>
      <c r="AP391" s="15">
        <f t="shared" si="15"/>
        <v>0</v>
      </c>
      <c r="AQ391" s="1" t="s">
        <v>829</v>
      </c>
      <c r="AV391" s="15">
        <f t="shared" si="16"/>
        <v>0</v>
      </c>
      <c r="AW391" s="15">
        <f t="shared" si="17"/>
        <v>0</v>
      </c>
      <c r="AX391" s="15">
        <f t="shared" si="18"/>
        <v>0</v>
      </c>
      <c r="AY391" s="1" t="s">
        <v>654</v>
      </c>
      <c r="AZ391" s="1" t="s">
        <v>299</v>
      </c>
      <c r="BA391" s="52" t="s">
        <v>56</v>
      </c>
      <c r="BC391" s="15">
        <f t="shared" si="19"/>
        <v>0</v>
      </c>
      <c r="BD391" s="15">
        <f t="shared" si="20"/>
        <v>0</v>
      </c>
      <c r="BE391" s="15">
        <v>0</v>
      </c>
      <c r="BF391" s="15">
        <f>391</f>
        <v>391</v>
      </c>
      <c r="BH391" s="15">
        <f t="shared" si="21"/>
        <v>0</v>
      </c>
      <c r="BI391" s="15">
        <f t="shared" si="22"/>
        <v>0</v>
      </c>
      <c r="BJ391" s="15">
        <f t="shared" si="23"/>
        <v>0</v>
      </c>
      <c r="BK391" s="15"/>
      <c r="BL391" s="15"/>
      <c r="BW391" s="15">
        <v>21</v>
      </c>
    </row>
    <row r="392" spans="1:75" ht="13.5" customHeight="1">
      <c r="A392" s="7" t="s">
        <v>848</v>
      </c>
      <c r="B392" s="11" t="s">
        <v>363</v>
      </c>
      <c r="C392" s="135" t="s">
        <v>205</v>
      </c>
      <c r="D392" s="130"/>
      <c r="E392" s="11" t="s">
        <v>581</v>
      </c>
      <c r="F392" s="15">
        <v>4</v>
      </c>
      <c r="G392" s="15">
        <v>0</v>
      </c>
      <c r="H392" s="15">
        <f t="shared" si="0"/>
        <v>0</v>
      </c>
      <c r="I392" s="15">
        <f t="shared" si="1"/>
        <v>0</v>
      </c>
      <c r="J392" s="15">
        <f t="shared" si="2"/>
        <v>0</v>
      </c>
      <c r="K392" s="12" t="s">
        <v>577</v>
      </c>
      <c r="Z392" s="15">
        <f t="shared" si="3"/>
        <v>0</v>
      </c>
      <c r="AB392" s="15">
        <f t="shared" si="4"/>
        <v>0</v>
      </c>
      <c r="AC392" s="15">
        <f t="shared" si="5"/>
        <v>0</v>
      </c>
      <c r="AD392" s="15">
        <f t="shared" si="6"/>
        <v>0</v>
      </c>
      <c r="AE392" s="15">
        <f t="shared" si="7"/>
        <v>0</v>
      </c>
      <c r="AF392" s="15">
        <f t="shared" si="8"/>
        <v>0</v>
      </c>
      <c r="AG392" s="15">
        <f t="shared" si="9"/>
        <v>0</v>
      </c>
      <c r="AH392" s="15">
        <f t="shared" si="10"/>
        <v>0</v>
      </c>
      <c r="AI392" s="52" t="s">
        <v>901</v>
      </c>
      <c r="AJ392" s="15">
        <f t="shared" si="11"/>
        <v>0</v>
      </c>
      <c r="AK392" s="15">
        <f t="shared" si="12"/>
        <v>0</v>
      </c>
      <c r="AL392" s="15">
        <f t="shared" si="13"/>
        <v>0</v>
      </c>
      <c r="AN392" s="15">
        <v>21</v>
      </c>
      <c r="AO392" s="15">
        <f t="shared" si="14"/>
        <v>0</v>
      </c>
      <c r="AP392" s="15">
        <f t="shared" si="15"/>
        <v>0</v>
      </c>
      <c r="AQ392" s="1" t="s">
        <v>829</v>
      </c>
      <c r="AV392" s="15">
        <f t="shared" si="16"/>
        <v>0</v>
      </c>
      <c r="AW392" s="15">
        <f t="shared" si="17"/>
        <v>0</v>
      </c>
      <c r="AX392" s="15">
        <f t="shared" si="18"/>
        <v>0</v>
      </c>
      <c r="AY392" s="1" t="s">
        <v>654</v>
      </c>
      <c r="AZ392" s="1" t="s">
        <v>299</v>
      </c>
      <c r="BA392" s="52" t="s">
        <v>56</v>
      </c>
      <c r="BC392" s="15">
        <f t="shared" si="19"/>
        <v>0</v>
      </c>
      <c r="BD392" s="15">
        <f t="shared" si="20"/>
        <v>0</v>
      </c>
      <c r="BE392" s="15">
        <v>0</v>
      </c>
      <c r="BF392" s="15">
        <f>392</f>
        <v>392</v>
      </c>
      <c r="BH392" s="15">
        <f t="shared" si="21"/>
        <v>0</v>
      </c>
      <c r="BI392" s="15">
        <f t="shared" si="22"/>
        <v>0</v>
      </c>
      <c r="BJ392" s="15">
        <f t="shared" si="23"/>
        <v>0</v>
      </c>
      <c r="BK392" s="15"/>
      <c r="BL392" s="15"/>
      <c r="BW392" s="15">
        <v>21</v>
      </c>
    </row>
    <row r="393" spans="1:75" ht="13.5" customHeight="1">
      <c r="A393" s="7" t="s">
        <v>338</v>
      </c>
      <c r="B393" s="11" t="s">
        <v>836</v>
      </c>
      <c r="C393" s="135" t="s">
        <v>847</v>
      </c>
      <c r="D393" s="130"/>
      <c r="E393" s="11" t="s">
        <v>581</v>
      </c>
      <c r="F393" s="15">
        <v>4</v>
      </c>
      <c r="G393" s="15">
        <v>0</v>
      </c>
      <c r="H393" s="15">
        <f t="shared" si="0"/>
        <v>0</v>
      </c>
      <c r="I393" s="15">
        <f t="shared" si="1"/>
        <v>0</v>
      </c>
      <c r="J393" s="15">
        <f t="shared" si="2"/>
        <v>0</v>
      </c>
      <c r="K393" s="12" t="s">
        <v>577</v>
      </c>
      <c r="Z393" s="15">
        <f t="shared" si="3"/>
        <v>0</v>
      </c>
      <c r="AB393" s="15">
        <f t="shared" si="4"/>
        <v>0</v>
      </c>
      <c r="AC393" s="15">
        <f t="shared" si="5"/>
        <v>0</v>
      </c>
      <c r="AD393" s="15">
        <f t="shared" si="6"/>
        <v>0</v>
      </c>
      <c r="AE393" s="15">
        <f t="shared" si="7"/>
        <v>0</v>
      </c>
      <c r="AF393" s="15">
        <f t="shared" si="8"/>
        <v>0</v>
      </c>
      <c r="AG393" s="15">
        <f t="shared" si="9"/>
        <v>0</v>
      </c>
      <c r="AH393" s="15">
        <f t="shared" si="10"/>
        <v>0</v>
      </c>
      <c r="AI393" s="52" t="s">
        <v>901</v>
      </c>
      <c r="AJ393" s="15">
        <f t="shared" si="11"/>
        <v>0</v>
      </c>
      <c r="AK393" s="15">
        <f t="shared" si="12"/>
        <v>0</v>
      </c>
      <c r="AL393" s="15">
        <f t="shared" si="13"/>
        <v>0</v>
      </c>
      <c r="AN393" s="15">
        <v>21</v>
      </c>
      <c r="AO393" s="15">
        <f t="shared" si="14"/>
        <v>0</v>
      </c>
      <c r="AP393" s="15">
        <f t="shared" si="15"/>
        <v>0</v>
      </c>
      <c r="AQ393" s="1" t="s">
        <v>829</v>
      </c>
      <c r="AV393" s="15">
        <f t="shared" si="16"/>
        <v>0</v>
      </c>
      <c r="AW393" s="15">
        <f t="shared" si="17"/>
        <v>0</v>
      </c>
      <c r="AX393" s="15">
        <f t="shared" si="18"/>
        <v>0</v>
      </c>
      <c r="AY393" s="1" t="s">
        <v>654</v>
      </c>
      <c r="AZ393" s="1" t="s">
        <v>299</v>
      </c>
      <c r="BA393" s="52" t="s">
        <v>56</v>
      </c>
      <c r="BC393" s="15">
        <f t="shared" si="19"/>
        <v>0</v>
      </c>
      <c r="BD393" s="15">
        <f t="shared" si="20"/>
        <v>0</v>
      </c>
      <c r="BE393" s="15">
        <v>0</v>
      </c>
      <c r="BF393" s="15">
        <f>393</f>
        <v>393</v>
      </c>
      <c r="BH393" s="15">
        <f t="shared" si="21"/>
        <v>0</v>
      </c>
      <c r="BI393" s="15">
        <f t="shared" si="22"/>
        <v>0</v>
      </c>
      <c r="BJ393" s="15">
        <f t="shared" si="23"/>
        <v>0</v>
      </c>
      <c r="BK393" s="15"/>
      <c r="BL393" s="15"/>
      <c r="BW393" s="15">
        <v>21</v>
      </c>
    </row>
    <row r="394" spans="1:75" ht="13.5" customHeight="1">
      <c r="A394" s="7" t="s">
        <v>258</v>
      </c>
      <c r="B394" s="11" t="s">
        <v>435</v>
      </c>
      <c r="C394" s="135" t="s">
        <v>296</v>
      </c>
      <c r="D394" s="130"/>
      <c r="E394" s="11" t="s">
        <v>581</v>
      </c>
      <c r="F394" s="15">
        <v>4</v>
      </c>
      <c r="G394" s="15">
        <v>0</v>
      </c>
      <c r="H394" s="15">
        <f t="shared" si="0"/>
        <v>0</v>
      </c>
      <c r="I394" s="15">
        <f t="shared" si="1"/>
        <v>0</v>
      </c>
      <c r="J394" s="15">
        <f t="shared" si="2"/>
        <v>0</v>
      </c>
      <c r="K394" s="12" t="s">
        <v>577</v>
      </c>
      <c r="Z394" s="15">
        <f t="shared" si="3"/>
        <v>0</v>
      </c>
      <c r="AB394" s="15">
        <f t="shared" si="4"/>
        <v>0</v>
      </c>
      <c r="AC394" s="15">
        <f t="shared" si="5"/>
        <v>0</v>
      </c>
      <c r="AD394" s="15">
        <f t="shared" si="6"/>
        <v>0</v>
      </c>
      <c r="AE394" s="15">
        <f t="shared" si="7"/>
        <v>0</v>
      </c>
      <c r="AF394" s="15">
        <f t="shared" si="8"/>
        <v>0</v>
      </c>
      <c r="AG394" s="15">
        <f t="shared" si="9"/>
        <v>0</v>
      </c>
      <c r="AH394" s="15">
        <f t="shared" si="10"/>
        <v>0</v>
      </c>
      <c r="AI394" s="52" t="s">
        <v>901</v>
      </c>
      <c r="AJ394" s="15">
        <f t="shared" si="11"/>
        <v>0</v>
      </c>
      <c r="AK394" s="15">
        <f t="shared" si="12"/>
        <v>0</v>
      </c>
      <c r="AL394" s="15">
        <f t="shared" si="13"/>
        <v>0</v>
      </c>
      <c r="AN394" s="15">
        <v>21</v>
      </c>
      <c r="AO394" s="15">
        <f t="shared" si="14"/>
        <v>0</v>
      </c>
      <c r="AP394" s="15">
        <f t="shared" si="15"/>
        <v>0</v>
      </c>
      <c r="AQ394" s="1" t="s">
        <v>829</v>
      </c>
      <c r="AV394" s="15">
        <f t="shared" si="16"/>
        <v>0</v>
      </c>
      <c r="AW394" s="15">
        <f t="shared" si="17"/>
        <v>0</v>
      </c>
      <c r="AX394" s="15">
        <f t="shared" si="18"/>
        <v>0</v>
      </c>
      <c r="AY394" s="1" t="s">
        <v>654</v>
      </c>
      <c r="AZ394" s="1" t="s">
        <v>299</v>
      </c>
      <c r="BA394" s="52" t="s">
        <v>56</v>
      </c>
      <c r="BC394" s="15">
        <f t="shared" si="19"/>
        <v>0</v>
      </c>
      <c r="BD394" s="15">
        <f t="shared" si="20"/>
        <v>0</v>
      </c>
      <c r="BE394" s="15">
        <v>0</v>
      </c>
      <c r="BF394" s="15">
        <f>394</f>
        <v>394</v>
      </c>
      <c r="BH394" s="15">
        <f t="shared" si="21"/>
        <v>0</v>
      </c>
      <c r="BI394" s="15">
        <f t="shared" si="22"/>
        <v>0</v>
      </c>
      <c r="BJ394" s="15">
        <f t="shared" si="23"/>
        <v>0</v>
      </c>
      <c r="BK394" s="15"/>
      <c r="BL394" s="15"/>
      <c r="BW394" s="15">
        <v>21</v>
      </c>
    </row>
    <row r="395" spans="1:75" ht="13.5" customHeight="1">
      <c r="A395" s="7" t="s">
        <v>634</v>
      </c>
      <c r="B395" s="11" t="s">
        <v>476</v>
      </c>
      <c r="C395" s="135" t="s">
        <v>684</v>
      </c>
      <c r="D395" s="130"/>
      <c r="E395" s="11" t="s">
        <v>581</v>
      </c>
      <c r="F395" s="15">
        <v>12</v>
      </c>
      <c r="G395" s="15">
        <v>0</v>
      </c>
      <c r="H395" s="15">
        <f t="shared" si="0"/>
        <v>0</v>
      </c>
      <c r="I395" s="15">
        <f t="shared" si="1"/>
        <v>0</v>
      </c>
      <c r="J395" s="15">
        <f t="shared" si="2"/>
        <v>0</v>
      </c>
      <c r="K395" s="12" t="s">
        <v>577</v>
      </c>
      <c r="Z395" s="15">
        <f t="shared" si="3"/>
        <v>0</v>
      </c>
      <c r="AB395" s="15">
        <f t="shared" si="4"/>
        <v>0</v>
      </c>
      <c r="AC395" s="15">
        <f t="shared" si="5"/>
        <v>0</v>
      </c>
      <c r="AD395" s="15">
        <f t="shared" si="6"/>
        <v>0</v>
      </c>
      <c r="AE395" s="15">
        <f t="shared" si="7"/>
        <v>0</v>
      </c>
      <c r="AF395" s="15">
        <f t="shared" si="8"/>
        <v>0</v>
      </c>
      <c r="AG395" s="15">
        <f t="shared" si="9"/>
        <v>0</v>
      </c>
      <c r="AH395" s="15">
        <f t="shared" si="10"/>
        <v>0</v>
      </c>
      <c r="AI395" s="52" t="s">
        <v>901</v>
      </c>
      <c r="AJ395" s="15">
        <f t="shared" si="11"/>
        <v>0</v>
      </c>
      <c r="AK395" s="15">
        <f t="shared" si="12"/>
        <v>0</v>
      </c>
      <c r="AL395" s="15">
        <f t="shared" si="13"/>
        <v>0</v>
      </c>
      <c r="AN395" s="15">
        <v>21</v>
      </c>
      <c r="AO395" s="15">
        <f t="shared" si="14"/>
        <v>0</v>
      </c>
      <c r="AP395" s="15">
        <f t="shared" si="15"/>
        <v>0</v>
      </c>
      <c r="AQ395" s="1" t="s">
        <v>829</v>
      </c>
      <c r="AV395" s="15">
        <f t="shared" si="16"/>
        <v>0</v>
      </c>
      <c r="AW395" s="15">
        <f t="shared" si="17"/>
        <v>0</v>
      </c>
      <c r="AX395" s="15">
        <f t="shared" si="18"/>
        <v>0</v>
      </c>
      <c r="AY395" s="1" t="s">
        <v>654</v>
      </c>
      <c r="AZ395" s="1" t="s">
        <v>299</v>
      </c>
      <c r="BA395" s="52" t="s">
        <v>56</v>
      </c>
      <c r="BC395" s="15">
        <f t="shared" si="19"/>
        <v>0</v>
      </c>
      <c r="BD395" s="15">
        <f t="shared" si="20"/>
        <v>0</v>
      </c>
      <c r="BE395" s="15">
        <v>0</v>
      </c>
      <c r="BF395" s="15">
        <f>395</f>
        <v>395</v>
      </c>
      <c r="BH395" s="15">
        <f t="shared" si="21"/>
        <v>0</v>
      </c>
      <c r="BI395" s="15">
        <f t="shared" si="22"/>
        <v>0</v>
      </c>
      <c r="BJ395" s="15">
        <f t="shared" si="23"/>
        <v>0</v>
      </c>
      <c r="BK395" s="15"/>
      <c r="BL395" s="15"/>
      <c r="BW395" s="15">
        <v>21</v>
      </c>
    </row>
    <row r="396" spans="1:75" ht="13.5" customHeight="1">
      <c r="A396" s="7" t="s">
        <v>127</v>
      </c>
      <c r="B396" s="11" t="s">
        <v>885</v>
      </c>
      <c r="C396" s="135" t="s">
        <v>408</v>
      </c>
      <c r="D396" s="130"/>
      <c r="E396" s="11" t="s">
        <v>581</v>
      </c>
      <c r="F396" s="15">
        <v>15</v>
      </c>
      <c r="G396" s="15">
        <v>0</v>
      </c>
      <c r="H396" s="15">
        <f t="shared" si="0"/>
        <v>0</v>
      </c>
      <c r="I396" s="15">
        <f t="shared" si="1"/>
        <v>0</v>
      </c>
      <c r="J396" s="15">
        <f t="shared" si="2"/>
        <v>0</v>
      </c>
      <c r="K396" s="12" t="s">
        <v>577</v>
      </c>
      <c r="Z396" s="15">
        <f t="shared" si="3"/>
        <v>0</v>
      </c>
      <c r="AB396" s="15">
        <f t="shared" si="4"/>
        <v>0</v>
      </c>
      <c r="AC396" s="15">
        <f t="shared" si="5"/>
        <v>0</v>
      </c>
      <c r="AD396" s="15">
        <f t="shared" si="6"/>
        <v>0</v>
      </c>
      <c r="AE396" s="15">
        <f t="shared" si="7"/>
        <v>0</v>
      </c>
      <c r="AF396" s="15">
        <f t="shared" si="8"/>
        <v>0</v>
      </c>
      <c r="AG396" s="15">
        <f t="shared" si="9"/>
        <v>0</v>
      </c>
      <c r="AH396" s="15">
        <f t="shared" si="10"/>
        <v>0</v>
      </c>
      <c r="AI396" s="52" t="s">
        <v>901</v>
      </c>
      <c r="AJ396" s="15">
        <f t="shared" si="11"/>
        <v>0</v>
      </c>
      <c r="AK396" s="15">
        <f t="shared" si="12"/>
        <v>0</v>
      </c>
      <c r="AL396" s="15">
        <f t="shared" si="13"/>
        <v>0</v>
      </c>
      <c r="AN396" s="15">
        <v>21</v>
      </c>
      <c r="AO396" s="15">
        <f t="shared" si="14"/>
        <v>0</v>
      </c>
      <c r="AP396" s="15">
        <f t="shared" si="15"/>
        <v>0</v>
      </c>
      <c r="AQ396" s="1" t="s">
        <v>829</v>
      </c>
      <c r="AV396" s="15">
        <f t="shared" si="16"/>
        <v>0</v>
      </c>
      <c r="AW396" s="15">
        <f t="shared" si="17"/>
        <v>0</v>
      </c>
      <c r="AX396" s="15">
        <f t="shared" si="18"/>
        <v>0</v>
      </c>
      <c r="AY396" s="1" t="s">
        <v>654</v>
      </c>
      <c r="AZ396" s="1" t="s">
        <v>299</v>
      </c>
      <c r="BA396" s="52" t="s">
        <v>56</v>
      </c>
      <c r="BC396" s="15">
        <f t="shared" si="19"/>
        <v>0</v>
      </c>
      <c r="BD396" s="15">
        <f t="shared" si="20"/>
        <v>0</v>
      </c>
      <c r="BE396" s="15">
        <v>0</v>
      </c>
      <c r="BF396" s="15">
        <f>396</f>
        <v>396</v>
      </c>
      <c r="BH396" s="15">
        <f t="shared" si="21"/>
        <v>0</v>
      </c>
      <c r="BI396" s="15">
        <f t="shared" si="22"/>
        <v>0</v>
      </c>
      <c r="BJ396" s="15">
        <f t="shared" si="23"/>
        <v>0</v>
      </c>
      <c r="BK396" s="15"/>
      <c r="BL396" s="15"/>
      <c r="BW396" s="15">
        <v>21</v>
      </c>
    </row>
    <row r="397" spans="1:75" ht="13.5" customHeight="1">
      <c r="A397" s="7" t="s">
        <v>776</v>
      </c>
      <c r="B397" s="11" t="s">
        <v>714</v>
      </c>
      <c r="C397" s="135" t="s">
        <v>580</v>
      </c>
      <c r="D397" s="130"/>
      <c r="E397" s="11" t="s">
        <v>581</v>
      </c>
      <c r="F397" s="15">
        <v>16</v>
      </c>
      <c r="G397" s="15">
        <v>0</v>
      </c>
      <c r="H397" s="15">
        <f t="shared" si="0"/>
        <v>0</v>
      </c>
      <c r="I397" s="15">
        <f t="shared" si="1"/>
        <v>0</v>
      </c>
      <c r="J397" s="15">
        <f t="shared" si="2"/>
        <v>0</v>
      </c>
      <c r="K397" s="12" t="s">
        <v>577</v>
      </c>
      <c r="Z397" s="15">
        <f t="shared" si="3"/>
        <v>0</v>
      </c>
      <c r="AB397" s="15">
        <f t="shared" si="4"/>
        <v>0</v>
      </c>
      <c r="AC397" s="15">
        <f t="shared" si="5"/>
        <v>0</v>
      </c>
      <c r="AD397" s="15">
        <f t="shared" si="6"/>
        <v>0</v>
      </c>
      <c r="AE397" s="15">
        <f t="shared" si="7"/>
        <v>0</v>
      </c>
      <c r="AF397" s="15">
        <f t="shared" si="8"/>
        <v>0</v>
      </c>
      <c r="AG397" s="15">
        <f t="shared" si="9"/>
        <v>0</v>
      </c>
      <c r="AH397" s="15">
        <f t="shared" si="10"/>
        <v>0</v>
      </c>
      <c r="AI397" s="52" t="s">
        <v>901</v>
      </c>
      <c r="AJ397" s="15">
        <f t="shared" si="11"/>
        <v>0</v>
      </c>
      <c r="AK397" s="15">
        <f t="shared" si="12"/>
        <v>0</v>
      </c>
      <c r="AL397" s="15">
        <f t="shared" si="13"/>
        <v>0</v>
      </c>
      <c r="AN397" s="15">
        <v>21</v>
      </c>
      <c r="AO397" s="15">
        <f t="shared" si="14"/>
        <v>0</v>
      </c>
      <c r="AP397" s="15">
        <f t="shared" si="15"/>
        <v>0</v>
      </c>
      <c r="AQ397" s="1" t="s">
        <v>829</v>
      </c>
      <c r="AV397" s="15">
        <f t="shared" si="16"/>
        <v>0</v>
      </c>
      <c r="AW397" s="15">
        <f t="shared" si="17"/>
        <v>0</v>
      </c>
      <c r="AX397" s="15">
        <f t="shared" si="18"/>
        <v>0</v>
      </c>
      <c r="AY397" s="1" t="s">
        <v>654</v>
      </c>
      <c r="AZ397" s="1" t="s">
        <v>299</v>
      </c>
      <c r="BA397" s="52" t="s">
        <v>56</v>
      </c>
      <c r="BC397" s="15">
        <f t="shared" si="19"/>
        <v>0</v>
      </c>
      <c r="BD397" s="15">
        <f t="shared" si="20"/>
        <v>0</v>
      </c>
      <c r="BE397" s="15">
        <v>0</v>
      </c>
      <c r="BF397" s="15">
        <f>397</f>
        <v>397</v>
      </c>
      <c r="BH397" s="15">
        <f t="shared" si="21"/>
        <v>0</v>
      </c>
      <c r="BI397" s="15">
        <f t="shared" si="22"/>
        <v>0</v>
      </c>
      <c r="BJ397" s="15">
        <f t="shared" si="23"/>
        <v>0</v>
      </c>
      <c r="BK397" s="15"/>
      <c r="BL397" s="15"/>
      <c r="BW397" s="15">
        <v>21</v>
      </c>
    </row>
    <row r="398" spans="1:75" ht="13.5" customHeight="1">
      <c r="A398" s="7" t="s">
        <v>217</v>
      </c>
      <c r="B398" s="11" t="s">
        <v>364</v>
      </c>
      <c r="C398" s="135" t="s">
        <v>334</v>
      </c>
      <c r="D398" s="130"/>
      <c r="E398" s="11" t="s">
        <v>581</v>
      </c>
      <c r="F398" s="15">
        <v>90</v>
      </c>
      <c r="G398" s="15">
        <v>0</v>
      </c>
      <c r="H398" s="15">
        <f t="shared" si="0"/>
        <v>0</v>
      </c>
      <c r="I398" s="15">
        <f t="shared" si="1"/>
        <v>0</v>
      </c>
      <c r="J398" s="15">
        <f t="shared" si="2"/>
        <v>0</v>
      </c>
      <c r="K398" s="12" t="s">
        <v>577</v>
      </c>
      <c r="Z398" s="15">
        <f t="shared" si="3"/>
        <v>0</v>
      </c>
      <c r="AB398" s="15">
        <f t="shared" si="4"/>
        <v>0</v>
      </c>
      <c r="AC398" s="15">
        <f t="shared" si="5"/>
        <v>0</v>
      </c>
      <c r="AD398" s="15">
        <f t="shared" si="6"/>
        <v>0</v>
      </c>
      <c r="AE398" s="15">
        <f t="shared" si="7"/>
        <v>0</v>
      </c>
      <c r="AF398" s="15">
        <f t="shared" si="8"/>
        <v>0</v>
      </c>
      <c r="AG398" s="15">
        <f t="shared" si="9"/>
        <v>0</v>
      </c>
      <c r="AH398" s="15">
        <f t="shared" si="10"/>
        <v>0</v>
      </c>
      <c r="AI398" s="52" t="s">
        <v>901</v>
      </c>
      <c r="AJ398" s="15">
        <f t="shared" si="11"/>
        <v>0</v>
      </c>
      <c r="AK398" s="15">
        <f t="shared" si="12"/>
        <v>0</v>
      </c>
      <c r="AL398" s="15">
        <f t="shared" si="13"/>
        <v>0</v>
      </c>
      <c r="AN398" s="15">
        <v>21</v>
      </c>
      <c r="AO398" s="15">
        <f t="shared" si="14"/>
        <v>0</v>
      </c>
      <c r="AP398" s="15">
        <f t="shared" si="15"/>
        <v>0</v>
      </c>
      <c r="AQ398" s="1" t="s">
        <v>829</v>
      </c>
      <c r="AV398" s="15">
        <f t="shared" si="16"/>
        <v>0</v>
      </c>
      <c r="AW398" s="15">
        <f t="shared" si="17"/>
        <v>0</v>
      </c>
      <c r="AX398" s="15">
        <f t="shared" si="18"/>
        <v>0</v>
      </c>
      <c r="AY398" s="1" t="s">
        <v>654</v>
      </c>
      <c r="AZ398" s="1" t="s">
        <v>299</v>
      </c>
      <c r="BA398" s="52" t="s">
        <v>56</v>
      </c>
      <c r="BC398" s="15">
        <f t="shared" si="19"/>
        <v>0</v>
      </c>
      <c r="BD398" s="15">
        <f t="shared" si="20"/>
        <v>0</v>
      </c>
      <c r="BE398" s="15">
        <v>0</v>
      </c>
      <c r="BF398" s="15">
        <f>398</f>
        <v>398</v>
      </c>
      <c r="BH398" s="15">
        <f t="shared" si="21"/>
        <v>0</v>
      </c>
      <c r="BI398" s="15">
        <f t="shared" si="22"/>
        <v>0</v>
      </c>
      <c r="BJ398" s="15">
        <f t="shared" si="23"/>
        <v>0</v>
      </c>
      <c r="BK398" s="15"/>
      <c r="BL398" s="15"/>
      <c r="BW398" s="15">
        <v>21</v>
      </c>
    </row>
    <row r="399" spans="1:75" ht="13.5" customHeight="1">
      <c r="A399" s="7" t="s">
        <v>144</v>
      </c>
      <c r="B399" s="11" t="s">
        <v>717</v>
      </c>
      <c r="C399" s="135" t="s">
        <v>64</v>
      </c>
      <c r="D399" s="130"/>
      <c r="E399" s="11" t="s">
        <v>649</v>
      </c>
      <c r="F399" s="15">
        <v>1</v>
      </c>
      <c r="G399" s="15">
        <v>0</v>
      </c>
      <c r="H399" s="15">
        <f t="shared" si="0"/>
        <v>0</v>
      </c>
      <c r="I399" s="15">
        <f t="shared" si="1"/>
        <v>0</v>
      </c>
      <c r="J399" s="15">
        <f t="shared" si="2"/>
        <v>0</v>
      </c>
      <c r="K399" s="12" t="s">
        <v>577</v>
      </c>
      <c r="Z399" s="15">
        <f t="shared" si="3"/>
        <v>0</v>
      </c>
      <c r="AB399" s="15">
        <f t="shared" si="4"/>
        <v>0</v>
      </c>
      <c r="AC399" s="15">
        <f t="shared" si="5"/>
        <v>0</v>
      </c>
      <c r="AD399" s="15">
        <f t="shared" si="6"/>
        <v>0</v>
      </c>
      <c r="AE399" s="15">
        <f t="shared" si="7"/>
        <v>0</v>
      </c>
      <c r="AF399" s="15">
        <f t="shared" si="8"/>
        <v>0</v>
      </c>
      <c r="AG399" s="15">
        <f t="shared" si="9"/>
        <v>0</v>
      </c>
      <c r="AH399" s="15">
        <f t="shared" si="10"/>
        <v>0</v>
      </c>
      <c r="AI399" s="52" t="s">
        <v>901</v>
      </c>
      <c r="AJ399" s="15">
        <f t="shared" si="11"/>
        <v>0</v>
      </c>
      <c r="AK399" s="15">
        <f t="shared" si="12"/>
        <v>0</v>
      </c>
      <c r="AL399" s="15">
        <f t="shared" si="13"/>
        <v>0</v>
      </c>
      <c r="AN399" s="15">
        <v>21</v>
      </c>
      <c r="AO399" s="15">
        <f t="shared" si="14"/>
        <v>0</v>
      </c>
      <c r="AP399" s="15">
        <f t="shared" si="15"/>
        <v>0</v>
      </c>
      <c r="AQ399" s="1" t="s">
        <v>829</v>
      </c>
      <c r="AV399" s="15">
        <f t="shared" si="16"/>
        <v>0</v>
      </c>
      <c r="AW399" s="15">
        <f t="shared" si="17"/>
        <v>0</v>
      </c>
      <c r="AX399" s="15">
        <f t="shared" si="18"/>
        <v>0</v>
      </c>
      <c r="AY399" s="1" t="s">
        <v>654</v>
      </c>
      <c r="AZ399" s="1" t="s">
        <v>299</v>
      </c>
      <c r="BA399" s="52" t="s">
        <v>56</v>
      </c>
      <c r="BC399" s="15">
        <f t="shared" si="19"/>
        <v>0</v>
      </c>
      <c r="BD399" s="15">
        <f t="shared" si="20"/>
        <v>0</v>
      </c>
      <c r="BE399" s="15">
        <v>0</v>
      </c>
      <c r="BF399" s="15">
        <f>399</f>
        <v>399</v>
      </c>
      <c r="BH399" s="15">
        <f t="shared" si="21"/>
        <v>0</v>
      </c>
      <c r="BI399" s="15">
        <f t="shared" si="22"/>
        <v>0</v>
      </c>
      <c r="BJ399" s="15">
        <f t="shared" si="23"/>
        <v>0</v>
      </c>
      <c r="BK399" s="15"/>
      <c r="BL399" s="15"/>
      <c r="BW399" s="15">
        <v>21</v>
      </c>
    </row>
    <row r="400" spans="1:75" ht="13.5" customHeight="1">
      <c r="A400" s="7" t="s">
        <v>268</v>
      </c>
      <c r="B400" s="11" t="s">
        <v>221</v>
      </c>
      <c r="C400" s="135" t="s">
        <v>929</v>
      </c>
      <c r="D400" s="130"/>
      <c r="E400" s="11" t="s">
        <v>581</v>
      </c>
      <c r="F400" s="15">
        <v>4</v>
      </c>
      <c r="G400" s="15">
        <v>0</v>
      </c>
      <c r="H400" s="15">
        <f t="shared" si="0"/>
        <v>0</v>
      </c>
      <c r="I400" s="15">
        <f t="shared" si="1"/>
        <v>0</v>
      </c>
      <c r="J400" s="15">
        <f t="shared" si="2"/>
        <v>0</v>
      </c>
      <c r="K400" s="12" t="s">
        <v>577</v>
      </c>
      <c r="Z400" s="15">
        <f t="shared" si="3"/>
        <v>0</v>
      </c>
      <c r="AB400" s="15">
        <f t="shared" si="4"/>
        <v>0</v>
      </c>
      <c r="AC400" s="15">
        <f t="shared" si="5"/>
        <v>0</v>
      </c>
      <c r="AD400" s="15">
        <f t="shared" si="6"/>
        <v>0</v>
      </c>
      <c r="AE400" s="15">
        <f t="shared" si="7"/>
        <v>0</v>
      </c>
      <c r="AF400" s="15">
        <f t="shared" si="8"/>
        <v>0</v>
      </c>
      <c r="AG400" s="15">
        <f t="shared" si="9"/>
        <v>0</v>
      </c>
      <c r="AH400" s="15">
        <f t="shared" si="10"/>
        <v>0</v>
      </c>
      <c r="AI400" s="52" t="s">
        <v>901</v>
      </c>
      <c r="AJ400" s="15">
        <f t="shared" si="11"/>
        <v>0</v>
      </c>
      <c r="AK400" s="15">
        <f t="shared" si="12"/>
        <v>0</v>
      </c>
      <c r="AL400" s="15">
        <f t="shared" si="13"/>
        <v>0</v>
      </c>
      <c r="AN400" s="15">
        <v>21</v>
      </c>
      <c r="AO400" s="15">
        <f t="shared" si="14"/>
        <v>0</v>
      </c>
      <c r="AP400" s="15">
        <f t="shared" si="15"/>
        <v>0</v>
      </c>
      <c r="AQ400" s="1" t="s">
        <v>829</v>
      </c>
      <c r="AV400" s="15">
        <f t="shared" si="16"/>
        <v>0</v>
      </c>
      <c r="AW400" s="15">
        <f t="shared" si="17"/>
        <v>0</v>
      </c>
      <c r="AX400" s="15">
        <f t="shared" si="18"/>
        <v>0</v>
      </c>
      <c r="AY400" s="1" t="s">
        <v>654</v>
      </c>
      <c r="AZ400" s="1" t="s">
        <v>299</v>
      </c>
      <c r="BA400" s="52" t="s">
        <v>56</v>
      </c>
      <c r="BC400" s="15">
        <f t="shared" si="19"/>
        <v>0</v>
      </c>
      <c r="BD400" s="15">
        <f t="shared" si="20"/>
        <v>0</v>
      </c>
      <c r="BE400" s="15">
        <v>0</v>
      </c>
      <c r="BF400" s="15">
        <f>400</f>
        <v>400</v>
      </c>
      <c r="BH400" s="15">
        <f t="shared" si="21"/>
        <v>0</v>
      </c>
      <c r="BI400" s="15">
        <f t="shared" si="22"/>
        <v>0</v>
      </c>
      <c r="BJ400" s="15">
        <f t="shared" si="23"/>
        <v>0</v>
      </c>
      <c r="BK400" s="15"/>
      <c r="BL400" s="15"/>
      <c r="BW400" s="15">
        <v>21</v>
      </c>
    </row>
    <row r="401" spans="1:75" ht="13.5" customHeight="1">
      <c r="A401" s="7" t="s">
        <v>290</v>
      </c>
      <c r="B401" s="11" t="s">
        <v>859</v>
      </c>
      <c r="C401" s="135" t="s">
        <v>318</v>
      </c>
      <c r="D401" s="130"/>
      <c r="E401" s="11" t="s">
        <v>581</v>
      </c>
      <c r="F401" s="15">
        <v>4</v>
      </c>
      <c r="G401" s="15">
        <v>0</v>
      </c>
      <c r="H401" s="15">
        <f t="shared" si="0"/>
        <v>0</v>
      </c>
      <c r="I401" s="15">
        <f t="shared" si="1"/>
        <v>0</v>
      </c>
      <c r="J401" s="15">
        <f t="shared" si="2"/>
        <v>0</v>
      </c>
      <c r="K401" s="12" t="s">
        <v>577</v>
      </c>
      <c r="Z401" s="15">
        <f t="shared" si="3"/>
        <v>0</v>
      </c>
      <c r="AB401" s="15">
        <f t="shared" si="4"/>
        <v>0</v>
      </c>
      <c r="AC401" s="15">
        <f t="shared" si="5"/>
        <v>0</v>
      </c>
      <c r="AD401" s="15">
        <f t="shared" si="6"/>
        <v>0</v>
      </c>
      <c r="AE401" s="15">
        <f t="shared" si="7"/>
        <v>0</v>
      </c>
      <c r="AF401" s="15">
        <f t="shared" si="8"/>
        <v>0</v>
      </c>
      <c r="AG401" s="15">
        <f t="shared" si="9"/>
        <v>0</v>
      </c>
      <c r="AH401" s="15">
        <f t="shared" si="10"/>
        <v>0</v>
      </c>
      <c r="AI401" s="52" t="s">
        <v>901</v>
      </c>
      <c r="AJ401" s="15">
        <f t="shared" si="11"/>
        <v>0</v>
      </c>
      <c r="AK401" s="15">
        <f t="shared" si="12"/>
        <v>0</v>
      </c>
      <c r="AL401" s="15">
        <f t="shared" si="13"/>
        <v>0</v>
      </c>
      <c r="AN401" s="15">
        <v>21</v>
      </c>
      <c r="AO401" s="15">
        <f t="shared" si="14"/>
        <v>0</v>
      </c>
      <c r="AP401" s="15">
        <f t="shared" si="15"/>
        <v>0</v>
      </c>
      <c r="AQ401" s="1" t="s">
        <v>829</v>
      </c>
      <c r="AV401" s="15">
        <f t="shared" si="16"/>
        <v>0</v>
      </c>
      <c r="AW401" s="15">
        <f t="shared" si="17"/>
        <v>0</v>
      </c>
      <c r="AX401" s="15">
        <f t="shared" si="18"/>
        <v>0</v>
      </c>
      <c r="AY401" s="1" t="s">
        <v>654</v>
      </c>
      <c r="AZ401" s="1" t="s">
        <v>299</v>
      </c>
      <c r="BA401" s="52" t="s">
        <v>56</v>
      </c>
      <c r="BC401" s="15">
        <f t="shared" si="19"/>
        <v>0</v>
      </c>
      <c r="BD401" s="15">
        <f t="shared" si="20"/>
        <v>0</v>
      </c>
      <c r="BE401" s="15">
        <v>0</v>
      </c>
      <c r="BF401" s="15">
        <f>401</f>
        <v>401</v>
      </c>
      <c r="BH401" s="15">
        <f t="shared" si="21"/>
        <v>0</v>
      </c>
      <c r="BI401" s="15">
        <f t="shared" si="22"/>
        <v>0</v>
      </c>
      <c r="BJ401" s="15">
        <f t="shared" si="23"/>
        <v>0</v>
      </c>
      <c r="BK401" s="15"/>
      <c r="BL401" s="15"/>
      <c r="BW401" s="15">
        <v>21</v>
      </c>
    </row>
    <row r="402" spans="1:75" ht="13.5" customHeight="1">
      <c r="A402" s="7" t="s">
        <v>192</v>
      </c>
      <c r="B402" s="11" t="s">
        <v>576</v>
      </c>
      <c r="C402" s="135" t="s">
        <v>561</v>
      </c>
      <c r="D402" s="130"/>
      <c r="E402" s="11" t="s">
        <v>695</v>
      </c>
      <c r="F402" s="15">
        <v>20</v>
      </c>
      <c r="G402" s="15">
        <v>0</v>
      </c>
      <c r="H402" s="15">
        <f t="shared" si="0"/>
        <v>0</v>
      </c>
      <c r="I402" s="15">
        <f t="shared" si="1"/>
        <v>0</v>
      </c>
      <c r="J402" s="15">
        <f t="shared" si="2"/>
        <v>0</v>
      </c>
      <c r="K402" s="12" t="s">
        <v>577</v>
      </c>
      <c r="Z402" s="15">
        <f t="shared" si="3"/>
        <v>0</v>
      </c>
      <c r="AB402" s="15">
        <f t="shared" si="4"/>
        <v>0</v>
      </c>
      <c r="AC402" s="15">
        <f t="shared" si="5"/>
        <v>0</v>
      </c>
      <c r="AD402" s="15">
        <f t="shared" si="6"/>
        <v>0</v>
      </c>
      <c r="AE402" s="15">
        <f t="shared" si="7"/>
        <v>0</v>
      </c>
      <c r="AF402" s="15">
        <f t="shared" si="8"/>
        <v>0</v>
      </c>
      <c r="AG402" s="15">
        <f t="shared" si="9"/>
        <v>0</v>
      </c>
      <c r="AH402" s="15">
        <f t="shared" si="10"/>
        <v>0</v>
      </c>
      <c r="AI402" s="52" t="s">
        <v>901</v>
      </c>
      <c r="AJ402" s="15">
        <f t="shared" si="11"/>
        <v>0</v>
      </c>
      <c r="AK402" s="15">
        <f t="shared" si="12"/>
        <v>0</v>
      </c>
      <c r="AL402" s="15">
        <f t="shared" si="13"/>
        <v>0</v>
      </c>
      <c r="AN402" s="15">
        <v>21</v>
      </c>
      <c r="AO402" s="15">
        <f t="shared" si="14"/>
        <v>0</v>
      </c>
      <c r="AP402" s="15">
        <f t="shared" si="15"/>
        <v>0</v>
      </c>
      <c r="AQ402" s="1" t="s">
        <v>829</v>
      </c>
      <c r="AV402" s="15">
        <f t="shared" si="16"/>
        <v>0</v>
      </c>
      <c r="AW402" s="15">
        <f t="shared" si="17"/>
        <v>0</v>
      </c>
      <c r="AX402" s="15">
        <f t="shared" si="18"/>
        <v>0</v>
      </c>
      <c r="AY402" s="1" t="s">
        <v>654</v>
      </c>
      <c r="AZ402" s="1" t="s">
        <v>299</v>
      </c>
      <c r="BA402" s="52" t="s">
        <v>56</v>
      </c>
      <c r="BC402" s="15">
        <f t="shared" si="19"/>
        <v>0</v>
      </c>
      <c r="BD402" s="15">
        <f t="shared" si="20"/>
        <v>0</v>
      </c>
      <c r="BE402" s="15">
        <v>0</v>
      </c>
      <c r="BF402" s="15">
        <f>402</f>
        <v>402</v>
      </c>
      <c r="BH402" s="15">
        <f t="shared" si="21"/>
        <v>0</v>
      </c>
      <c r="BI402" s="15">
        <f t="shared" si="22"/>
        <v>0</v>
      </c>
      <c r="BJ402" s="15">
        <f t="shared" si="23"/>
        <v>0</v>
      </c>
      <c r="BK402" s="15"/>
      <c r="BL402" s="15"/>
      <c r="BW402" s="15">
        <v>21</v>
      </c>
    </row>
    <row r="403" spans="1:75" ht="13.5" customHeight="1">
      <c r="A403" s="7" t="s">
        <v>371</v>
      </c>
      <c r="B403" s="11" t="s">
        <v>592</v>
      </c>
      <c r="C403" s="135" t="s">
        <v>405</v>
      </c>
      <c r="D403" s="130"/>
      <c r="E403" s="11" t="s">
        <v>695</v>
      </c>
      <c r="F403" s="15">
        <v>20</v>
      </c>
      <c r="G403" s="15">
        <v>0</v>
      </c>
      <c r="H403" s="15">
        <f t="shared" si="0"/>
        <v>0</v>
      </c>
      <c r="I403" s="15">
        <f t="shared" si="1"/>
        <v>0</v>
      </c>
      <c r="J403" s="15">
        <f t="shared" si="2"/>
        <v>0</v>
      </c>
      <c r="K403" s="12" t="s">
        <v>577</v>
      </c>
      <c r="Z403" s="15">
        <f t="shared" si="3"/>
        <v>0</v>
      </c>
      <c r="AB403" s="15">
        <f t="shared" si="4"/>
        <v>0</v>
      </c>
      <c r="AC403" s="15">
        <f t="shared" si="5"/>
        <v>0</v>
      </c>
      <c r="AD403" s="15">
        <f t="shared" si="6"/>
        <v>0</v>
      </c>
      <c r="AE403" s="15">
        <f t="shared" si="7"/>
        <v>0</v>
      </c>
      <c r="AF403" s="15">
        <f t="shared" si="8"/>
        <v>0</v>
      </c>
      <c r="AG403" s="15">
        <f t="shared" si="9"/>
        <v>0</v>
      </c>
      <c r="AH403" s="15">
        <f t="shared" si="10"/>
        <v>0</v>
      </c>
      <c r="AI403" s="52" t="s">
        <v>901</v>
      </c>
      <c r="AJ403" s="15">
        <f t="shared" si="11"/>
        <v>0</v>
      </c>
      <c r="AK403" s="15">
        <f t="shared" si="12"/>
        <v>0</v>
      </c>
      <c r="AL403" s="15">
        <f t="shared" si="13"/>
        <v>0</v>
      </c>
      <c r="AN403" s="15">
        <v>21</v>
      </c>
      <c r="AO403" s="15">
        <f t="shared" si="14"/>
        <v>0</v>
      </c>
      <c r="AP403" s="15">
        <f t="shared" si="15"/>
        <v>0</v>
      </c>
      <c r="AQ403" s="1" t="s">
        <v>829</v>
      </c>
      <c r="AV403" s="15">
        <f t="shared" si="16"/>
        <v>0</v>
      </c>
      <c r="AW403" s="15">
        <f t="shared" si="17"/>
        <v>0</v>
      </c>
      <c r="AX403" s="15">
        <f t="shared" si="18"/>
        <v>0</v>
      </c>
      <c r="AY403" s="1" t="s">
        <v>654</v>
      </c>
      <c r="AZ403" s="1" t="s">
        <v>299</v>
      </c>
      <c r="BA403" s="52" t="s">
        <v>56</v>
      </c>
      <c r="BC403" s="15">
        <f t="shared" si="19"/>
        <v>0</v>
      </c>
      <c r="BD403" s="15">
        <f t="shared" si="20"/>
        <v>0</v>
      </c>
      <c r="BE403" s="15">
        <v>0</v>
      </c>
      <c r="BF403" s="15">
        <f>403</f>
        <v>403</v>
      </c>
      <c r="BH403" s="15">
        <f t="shared" si="21"/>
        <v>0</v>
      </c>
      <c r="BI403" s="15">
        <f t="shared" si="22"/>
        <v>0</v>
      </c>
      <c r="BJ403" s="15">
        <f t="shared" si="23"/>
        <v>0</v>
      </c>
      <c r="BK403" s="15"/>
      <c r="BL403" s="15"/>
      <c r="BW403" s="15">
        <v>21</v>
      </c>
    </row>
    <row r="404" spans="1:75" ht="13.5" customHeight="1">
      <c r="A404" s="7" t="s">
        <v>357</v>
      </c>
      <c r="B404" s="11" t="s">
        <v>193</v>
      </c>
      <c r="C404" s="135" t="s">
        <v>202</v>
      </c>
      <c r="D404" s="130"/>
      <c r="E404" s="11" t="s">
        <v>695</v>
      </c>
      <c r="F404" s="15">
        <v>20</v>
      </c>
      <c r="G404" s="15">
        <v>0</v>
      </c>
      <c r="H404" s="15">
        <f t="shared" si="0"/>
        <v>0</v>
      </c>
      <c r="I404" s="15">
        <f t="shared" si="1"/>
        <v>0</v>
      </c>
      <c r="J404" s="15">
        <f t="shared" si="2"/>
        <v>0</v>
      </c>
      <c r="K404" s="12" t="s">
        <v>577</v>
      </c>
      <c r="Z404" s="15">
        <f t="shared" si="3"/>
        <v>0</v>
      </c>
      <c r="AB404" s="15">
        <f t="shared" si="4"/>
        <v>0</v>
      </c>
      <c r="AC404" s="15">
        <f t="shared" si="5"/>
        <v>0</v>
      </c>
      <c r="AD404" s="15">
        <f t="shared" si="6"/>
        <v>0</v>
      </c>
      <c r="AE404" s="15">
        <f t="shared" si="7"/>
        <v>0</v>
      </c>
      <c r="AF404" s="15">
        <f t="shared" si="8"/>
        <v>0</v>
      </c>
      <c r="AG404" s="15">
        <f t="shared" si="9"/>
        <v>0</v>
      </c>
      <c r="AH404" s="15">
        <f t="shared" si="10"/>
        <v>0</v>
      </c>
      <c r="AI404" s="52" t="s">
        <v>901</v>
      </c>
      <c r="AJ404" s="15">
        <f t="shared" si="11"/>
        <v>0</v>
      </c>
      <c r="AK404" s="15">
        <f t="shared" si="12"/>
        <v>0</v>
      </c>
      <c r="AL404" s="15">
        <f t="shared" si="13"/>
        <v>0</v>
      </c>
      <c r="AN404" s="15">
        <v>21</v>
      </c>
      <c r="AO404" s="15">
        <f t="shared" si="14"/>
        <v>0</v>
      </c>
      <c r="AP404" s="15">
        <f t="shared" si="15"/>
        <v>0</v>
      </c>
      <c r="AQ404" s="1" t="s">
        <v>829</v>
      </c>
      <c r="AV404" s="15">
        <f t="shared" si="16"/>
        <v>0</v>
      </c>
      <c r="AW404" s="15">
        <f t="shared" si="17"/>
        <v>0</v>
      </c>
      <c r="AX404" s="15">
        <f t="shared" si="18"/>
        <v>0</v>
      </c>
      <c r="AY404" s="1" t="s">
        <v>654</v>
      </c>
      <c r="AZ404" s="1" t="s">
        <v>299</v>
      </c>
      <c r="BA404" s="52" t="s">
        <v>56</v>
      </c>
      <c r="BC404" s="15">
        <f t="shared" si="19"/>
        <v>0</v>
      </c>
      <c r="BD404" s="15">
        <f t="shared" si="20"/>
        <v>0</v>
      </c>
      <c r="BE404" s="15">
        <v>0</v>
      </c>
      <c r="BF404" s="15">
        <f>404</f>
        <v>404</v>
      </c>
      <c r="BH404" s="15">
        <f t="shared" si="21"/>
        <v>0</v>
      </c>
      <c r="BI404" s="15">
        <f t="shared" si="22"/>
        <v>0</v>
      </c>
      <c r="BJ404" s="15">
        <f t="shared" si="23"/>
        <v>0</v>
      </c>
      <c r="BK404" s="15"/>
      <c r="BL404" s="15"/>
      <c r="BW404" s="15">
        <v>21</v>
      </c>
    </row>
    <row r="405" spans="1:75" ht="13.5" customHeight="1">
      <c r="A405" s="7" t="s">
        <v>465</v>
      </c>
      <c r="B405" s="11" t="s">
        <v>679</v>
      </c>
      <c r="C405" s="135" t="s">
        <v>3</v>
      </c>
      <c r="D405" s="130"/>
      <c r="E405" s="11" t="s">
        <v>649</v>
      </c>
      <c r="F405" s="15">
        <v>1</v>
      </c>
      <c r="G405" s="15">
        <v>0</v>
      </c>
      <c r="H405" s="15">
        <f t="shared" si="0"/>
        <v>0</v>
      </c>
      <c r="I405" s="15">
        <f t="shared" si="1"/>
        <v>0</v>
      </c>
      <c r="J405" s="15">
        <f t="shared" si="2"/>
        <v>0</v>
      </c>
      <c r="K405" s="12" t="s">
        <v>577</v>
      </c>
      <c r="Z405" s="15">
        <f t="shared" si="3"/>
        <v>0</v>
      </c>
      <c r="AB405" s="15">
        <f t="shared" si="4"/>
        <v>0</v>
      </c>
      <c r="AC405" s="15">
        <f t="shared" si="5"/>
        <v>0</v>
      </c>
      <c r="AD405" s="15">
        <f t="shared" si="6"/>
        <v>0</v>
      </c>
      <c r="AE405" s="15">
        <f t="shared" si="7"/>
        <v>0</v>
      </c>
      <c r="AF405" s="15">
        <f t="shared" si="8"/>
        <v>0</v>
      </c>
      <c r="AG405" s="15">
        <f t="shared" si="9"/>
        <v>0</v>
      </c>
      <c r="AH405" s="15">
        <f t="shared" si="10"/>
        <v>0</v>
      </c>
      <c r="AI405" s="52" t="s">
        <v>901</v>
      </c>
      <c r="AJ405" s="15">
        <f t="shared" si="11"/>
        <v>0</v>
      </c>
      <c r="AK405" s="15">
        <f t="shared" si="12"/>
        <v>0</v>
      </c>
      <c r="AL405" s="15">
        <f t="shared" si="13"/>
        <v>0</v>
      </c>
      <c r="AN405" s="15">
        <v>21</v>
      </c>
      <c r="AO405" s="15">
        <f t="shared" si="14"/>
        <v>0</v>
      </c>
      <c r="AP405" s="15">
        <f t="shared" si="15"/>
        <v>0</v>
      </c>
      <c r="AQ405" s="1" t="s">
        <v>829</v>
      </c>
      <c r="AV405" s="15">
        <f t="shared" si="16"/>
        <v>0</v>
      </c>
      <c r="AW405" s="15">
        <f t="shared" si="17"/>
        <v>0</v>
      </c>
      <c r="AX405" s="15">
        <f t="shared" si="18"/>
        <v>0</v>
      </c>
      <c r="AY405" s="1" t="s">
        <v>654</v>
      </c>
      <c r="AZ405" s="1" t="s">
        <v>299</v>
      </c>
      <c r="BA405" s="52" t="s">
        <v>56</v>
      </c>
      <c r="BC405" s="15">
        <f t="shared" si="19"/>
        <v>0</v>
      </c>
      <c r="BD405" s="15">
        <f t="shared" si="20"/>
        <v>0</v>
      </c>
      <c r="BE405" s="15">
        <v>0</v>
      </c>
      <c r="BF405" s="15">
        <f>405</f>
        <v>405</v>
      </c>
      <c r="BH405" s="15">
        <f t="shared" si="21"/>
        <v>0</v>
      </c>
      <c r="BI405" s="15">
        <f t="shared" si="22"/>
        <v>0</v>
      </c>
      <c r="BJ405" s="15">
        <f t="shared" si="23"/>
        <v>0</v>
      </c>
      <c r="BK405" s="15"/>
      <c r="BL405" s="15"/>
      <c r="BW405" s="15">
        <v>21</v>
      </c>
    </row>
    <row r="406" spans="1:75" ht="13.5" customHeight="1">
      <c r="A406" s="7" t="s">
        <v>116</v>
      </c>
      <c r="B406" s="11" t="s">
        <v>823</v>
      </c>
      <c r="C406" s="135" t="s">
        <v>231</v>
      </c>
      <c r="D406" s="130"/>
      <c r="E406" s="11" t="s">
        <v>649</v>
      </c>
      <c r="F406" s="15">
        <v>1</v>
      </c>
      <c r="G406" s="15">
        <v>0</v>
      </c>
      <c r="H406" s="15">
        <f t="shared" si="0"/>
        <v>0</v>
      </c>
      <c r="I406" s="15">
        <f t="shared" si="1"/>
        <v>0</v>
      </c>
      <c r="J406" s="15">
        <f t="shared" si="2"/>
        <v>0</v>
      </c>
      <c r="K406" s="12" t="s">
        <v>577</v>
      </c>
      <c r="Z406" s="15">
        <f t="shared" si="3"/>
        <v>0</v>
      </c>
      <c r="AB406" s="15">
        <f t="shared" si="4"/>
        <v>0</v>
      </c>
      <c r="AC406" s="15">
        <f t="shared" si="5"/>
        <v>0</v>
      </c>
      <c r="AD406" s="15">
        <f t="shared" si="6"/>
        <v>0</v>
      </c>
      <c r="AE406" s="15">
        <f t="shared" si="7"/>
        <v>0</v>
      </c>
      <c r="AF406" s="15">
        <f t="shared" si="8"/>
        <v>0</v>
      </c>
      <c r="AG406" s="15">
        <f t="shared" si="9"/>
        <v>0</v>
      </c>
      <c r="AH406" s="15">
        <f t="shared" si="10"/>
        <v>0</v>
      </c>
      <c r="AI406" s="52" t="s">
        <v>901</v>
      </c>
      <c r="AJ406" s="15">
        <f t="shared" si="11"/>
        <v>0</v>
      </c>
      <c r="AK406" s="15">
        <f t="shared" si="12"/>
        <v>0</v>
      </c>
      <c r="AL406" s="15">
        <f t="shared" si="13"/>
        <v>0</v>
      </c>
      <c r="AN406" s="15">
        <v>21</v>
      </c>
      <c r="AO406" s="15">
        <f t="shared" si="14"/>
        <v>0</v>
      </c>
      <c r="AP406" s="15">
        <f t="shared" si="15"/>
        <v>0</v>
      </c>
      <c r="AQ406" s="1" t="s">
        <v>829</v>
      </c>
      <c r="AV406" s="15">
        <f t="shared" si="16"/>
        <v>0</v>
      </c>
      <c r="AW406" s="15">
        <f t="shared" si="17"/>
        <v>0</v>
      </c>
      <c r="AX406" s="15">
        <f t="shared" si="18"/>
        <v>0</v>
      </c>
      <c r="AY406" s="1" t="s">
        <v>654</v>
      </c>
      <c r="AZ406" s="1" t="s">
        <v>299</v>
      </c>
      <c r="BA406" s="52" t="s">
        <v>56</v>
      </c>
      <c r="BC406" s="15">
        <f t="shared" si="19"/>
        <v>0</v>
      </c>
      <c r="BD406" s="15">
        <f t="shared" si="20"/>
        <v>0</v>
      </c>
      <c r="BE406" s="15">
        <v>0</v>
      </c>
      <c r="BF406" s="15">
        <f>406</f>
        <v>406</v>
      </c>
      <c r="BH406" s="15">
        <f t="shared" si="21"/>
        <v>0</v>
      </c>
      <c r="BI406" s="15">
        <f t="shared" si="22"/>
        <v>0</v>
      </c>
      <c r="BJ406" s="15">
        <f t="shared" si="23"/>
        <v>0</v>
      </c>
      <c r="BK406" s="15"/>
      <c r="BL406" s="15"/>
      <c r="BW406" s="15">
        <v>21</v>
      </c>
    </row>
    <row r="407" spans="1:75" ht="13.5" customHeight="1">
      <c r="A407" s="7" t="s">
        <v>457</v>
      </c>
      <c r="B407" s="11" t="s">
        <v>141</v>
      </c>
      <c r="C407" s="135" t="s">
        <v>359</v>
      </c>
      <c r="D407" s="130"/>
      <c r="E407" s="11" t="s">
        <v>649</v>
      </c>
      <c r="F407" s="15">
        <v>1</v>
      </c>
      <c r="G407" s="15">
        <v>0</v>
      </c>
      <c r="H407" s="15">
        <f t="shared" si="0"/>
        <v>0</v>
      </c>
      <c r="I407" s="15">
        <f t="shared" si="1"/>
        <v>0</v>
      </c>
      <c r="J407" s="15">
        <f t="shared" si="2"/>
        <v>0</v>
      </c>
      <c r="K407" s="12" t="s">
        <v>577</v>
      </c>
      <c r="Z407" s="15">
        <f t="shared" si="3"/>
        <v>0</v>
      </c>
      <c r="AB407" s="15">
        <f t="shared" si="4"/>
        <v>0</v>
      </c>
      <c r="AC407" s="15">
        <f t="shared" si="5"/>
        <v>0</v>
      </c>
      <c r="AD407" s="15">
        <f t="shared" si="6"/>
        <v>0</v>
      </c>
      <c r="AE407" s="15">
        <f t="shared" si="7"/>
        <v>0</v>
      </c>
      <c r="AF407" s="15">
        <f t="shared" si="8"/>
        <v>0</v>
      </c>
      <c r="AG407" s="15">
        <f t="shared" si="9"/>
        <v>0</v>
      </c>
      <c r="AH407" s="15">
        <f t="shared" si="10"/>
        <v>0</v>
      </c>
      <c r="AI407" s="52" t="s">
        <v>901</v>
      </c>
      <c r="AJ407" s="15">
        <f t="shared" si="11"/>
        <v>0</v>
      </c>
      <c r="AK407" s="15">
        <f t="shared" si="12"/>
        <v>0</v>
      </c>
      <c r="AL407" s="15">
        <f t="shared" si="13"/>
        <v>0</v>
      </c>
      <c r="AN407" s="15">
        <v>21</v>
      </c>
      <c r="AO407" s="15">
        <f t="shared" si="14"/>
        <v>0</v>
      </c>
      <c r="AP407" s="15">
        <f t="shared" si="15"/>
        <v>0</v>
      </c>
      <c r="AQ407" s="1" t="s">
        <v>829</v>
      </c>
      <c r="AV407" s="15">
        <f t="shared" si="16"/>
        <v>0</v>
      </c>
      <c r="AW407" s="15">
        <f t="shared" si="17"/>
        <v>0</v>
      </c>
      <c r="AX407" s="15">
        <f t="shared" si="18"/>
        <v>0</v>
      </c>
      <c r="AY407" s="1" t="s">
        <v>654</v>
      </c>
      <c r="AZ407" s="1" t="s">
        <v>299</v>
      </c>
      <c r="BA407" s="52" t="s">
        <v>56</v>
      </c>
      <c r="BC407" s="15">
        <f t="shared" si="19"/>
        <v>0</v>
      </c>
      <c r="BD407" s="15">
        <f t="shared" si="20"/>
        <v>0</v>
      </c>
      <c r="BE407" s="15">
        <v>0</v>
      </c>
      <c r="BF407" s="15">
        <f>407</f>
        <v>407</v>
      </c>
      <c r="BH407" s="15">
        <f t="shared" si="21"/>
        <v>0</v>
      </c>
      <c r="BI407" s="15">
        <f t="shared" si="22"/>
        <v>0</v>
      </c>
      <c r="BJ407" s="15">
        <f t="shared" si="23"/>
        <v>0</v>
      </c>
      <c r="BK407" s="15"/>
      <c r="BL407" s="15"/>
      <c r="BW407" s="15">
        <v>21</v>
      </c>
    </row>
    <row r="408" spans="1:75" ht="13.5" customHeight="1">
      <c r="A408" s="7" t="s">
        <v>67</v>
      </c>
      <c r="B408" s="11" t="s">
        <v>62</v>
      </c>
      <c r="C408" s="135" t="s">
        <v>282</v>
      </c>
      <c r="D408" s="130"/>
      <c r="E408" s="11" t="s">
        <v>649</v>
      </c>
      <c r="F408" s="15">
        <v>1</v>
      </c>
      <c r="G408" s="15">
        <v>0</v>
      </c>
      <c r="H408" s="15">
        <f t="shared" si="0"/>
        <v>0</v>
      </c>
      <c r="I408" s="15">
        <f t="shared" si="1"/>
        <v>0</v>
      </c>
      <c r="J408" s="15">
        <f t="shared" si="2"/>
        <v>0</v>
      </c>
      <c r="K408" s="12" t="s">
        <v>577</v>
      </c>
      <c r="Z408" s="15">
        <f t="shared" si="3"/>
        <v>0</v>
      </c>
      <c r="AB408" s="15">
        <f t="shared" si="4"/>
        <v>0</v>
      </c>
      <c r="AC408" s="15">
        <f t="shared" si="5"/>
        <v>0</v>
      </c>
      <c r="AD408" s="15">
        <f t="shared" si="6"/>
        <v>0</v>
      </c>
      <c r="AE408" s="15">
        <f t="shared" si="7"/>
        <v>0</v>
      </c>
      <c r="AF408" s="15">
        <f t="shared" si="8"/>
        <v>0</v>
      </c>
      <c r="AG408" s="15">
        <f t="shared" si="9"/>
        <v>0</v>
      </c>
      <c r="AH408" s="15">
        <f t="shared" si="10"/>
        <v>0</v>
      </c>
      <c r="AI408" s="52" t="s">
        <v>901</v>
      </c>
      <c r="AJ408" s="15">
        <f t="shared" si="11"/>
        <v>0</v>
      </c>
      <c r="AK408" s="15">
        <f t="shared" si="12"/>
        <v>0</v>
      </c>
      <c r="AL408" s="15">
        <f t="shared" si="13"/>
        <v>0</v>
      </c>
      <c r="AN408" s="15">
        <v>21</v>
      </c>
      <c r="AO408" s="15">
        <f t="shared" si="14"/>
        <v>0</v>
      </c>
      <c r="AP408" s="15">
        <f t="shared" si="15"/>
        <v>0</v>
      </c>
      <c r="AQ408" s="1" t="s">
        <v>829</v>
      </c>
      <c r="AV408" s="15">
        <f t="shared" si="16"/>
        <v>0</v>
      </c>
      <c r="AW408" s="15">
        <f t="shared" si="17"/>
        <v>0</v>
      </c>
      <c r="AX408" s="15">
        <f t="shared" si="18"/>
        <v>0</v>
      </c>
      <c r="AY408" s="1" t="s">
        <v>654</v>
      </c>
      <c r="AZ408" s="1" t="s">
        <v>299</v>
      </c>
      <c r="BA408" s="52" t="s">
        <v>56</v>
      </c>
      <c r="BC408" s="15">
        <f t="shared" si="19"/>
        <v>0</v>
      </c>
      <c r="BD408" s="15">
        <f t="shared" si="20"/>
        <v>0</v>
      </c>
      <c r="BE408" s="15">
        <v>0</v>
      </c>
      <c r="BF408" s="15">
        <f>408</f>
        <v>408</v>
      </c>
      <c r="BH408" s="15">
        <f t="shared" si="21"/>
        <v>0</v>
      </c>
      <c r="BI408" s="15">
        <f t="shared" si="22"/>
        <v>0</v>
      </c>
      <c r="BJ408" s="15">
        <f t="shared" si="23"/>
        <v>0</v>
      </c>
      <c r="BK408" s="15"/>
      <c r="BL408" s="15"/>
      <c r="BW408" s="15">
        <v>21</v>
      </c>
    </row>
    <row r="409" spans="1:75" ht="13.5" customHeight="1">
      <c r="A409" s="7" t="s">
        <v>896</v>
      </c>
      <c r="B409" s="11" t="s">
        <v>387</v>
      </c>
      <c r="C409" s="135" t="s">
        <v>715</v>
      </c>
      <c r="D409" s="130"/>
      <c r="E409" s="11" t="s">
        <v>649</v>
      </c>
      <c r="F409" s="15">
        <v>1</v>
      </c>
      <c r="G409" s="15">
        <v>0</v>
      </c>
      <c r="H409" s="15">
        <f t="shared" si="0"/>
        <v>0</v>
      </c>
      <c r="I409" s="15">
        <f t="shared" si="1"/>
        <v>0</v>
      </c>
      <c r="J409" s="15">
        <f t="shared" si="2"/>
        <v>0</v>
      </c>
      <c r="K409" s="12" t="s">
        <v>577</v>
      </c>
      <c r="Z409" s="15">
        <f t="shared" si="3"/>
        <v>0</v>
      </c>
      <c r="AB409" s="15">
        <f t="shared" si="4"/>
        <v>0</v>
      </c>
      <c r="AC409" s="15">
        <f t="shared" si="5"/>
        <v>0</v>
      </c>
      <c r="AD409" s="15">
        <f t="shared" si="6"/>
        <v>0</v>
      </c>
      <c r="AE409" s="15">
        <f t="shared" si="7"/>
        <v>0</v>
      </c>
      <c r="AF409" s="15">
        <f t="shared" si="8"/>
        <v>0</v>
      </c>
      <c r="AG409" s="15">
        <f t="shared" si="9"/>
        <v>0</v>
      </c>
      <c r="AH409" s="15">
        <f t="shared" si="10"/>
        <v>0</v>
      </c>
      <c r="AI409" s="52" t="s">
        <v>901</v>
      </c>
      <c r="AJ409" s="15">
        <f t="shared" si="11"/>
        <v>0</v>
      </c>
      <c r="AK409" s="15">
        <f t="shared" si="12"/>
        <v>0</v>
      </c>
      <c r="AL409" s="15">
        <f t="shared" si="13"/>
        <v>0</v>
      </c>
      <c r="AN409" s="15">
        <v>21</v>
      </c>
      <c r="AO409" s="15">
        <f t="shared" si="14"/>
        <v>0</v>
      </c>
      <c r="AP409" s="15">
        <f t="shared" si="15"/>
        <v>0</v>
      </c>
      <c r="AQ409" s="1" t="s">
        <v>829</v>
      </c>
      <c r="AV409" s="15">
        <f t="shared" si="16"/>
        <v>0</v>
      </c>
      <c r="AW409" s="15">
        <f t="shared" si="17"/>
        <v>0</v>
      </c>
      <c r="AX409" s="15">
        <f t="shared" si="18"/>
        <v>0</v>
      </c>
      <c r="AY409" s="1" t="s">
        <v>654</v>
      </c>
      <c r="AZ409" s="1" t="s">
        <v>299</v>
      </c>
      <c r="BA409" s="52" t="s">
        <v>56</v>
      </c>
      <c r="BC409" s="15">
        <f t="shared" si="19"/>
        <v>0</v>
      </c>
      <c r="BD409" s="15">
        <f t="shared" si="20"/>
        <v>0</v>
      </c>
      <c r="BE409" s="15">
        <v>0</v>
      </c>
      <c r="BF409" s="15">
        <f>409</f>
        <v>409</v>
      </c>
      <c r="BH409" s="15">
        <f t="shared" si="21"/>
        <v>0</v>
      </c>
      <c r="BI409" s="15">
        <f t="shared" si="22"/>
        <v>0</v>
      </c>
      <c r="BJ409" s="15">
        <f t="shared" si="23"/>
        <v>0</v>
      </c>
      <c r="BK409" s="15"/>
      <c r="BL409" s="15"/>
      <c r="BW409" s="15">
        <v>21</v>
      </c>
    </row>
    <row r="410" spans="1:75" ht="13.5" customHeight="1">
      <c r="A410" s="7" t="s">
        <v>494</v>
      </c>
      <c r="B410" s="11" t="s">
        <v>409</v>
      </c>
      <c r="C410" s="135" t="s">
        <v>699</v>
      </c>
      <c r="D410" s="130"/>
      <c r="E410" s="11" t="s">
        <v>545</v>
      </c>
      <c r="F410" s="15">
        <v>5</v>
      </c>
      <c r="G410" s="15">
        <v>0</v>
      </c>
      <c r="H410" s="15">
        <f t="shared" si="0"/>
        <v>0</v>
      </c>
      <c r="I410" s="15">
        <f t="shared" si="1"/>
        <v>0</v>
      </c>
      <c r="J410" s="15">
        <f t="shared" si="2"/>
        <v>0</v>
      </c>
      <c r="K410" s="12" t="s">
        <v>577</v>
      </c>
      <c r="Z410" s="15">
        <f t="shared" si="3"/>
        <v>0</v>
      </c>
      <c r="AB410" s="15">
        <f t="shared" si="4"/>
        <v>0</v>
      </c>
      <c r="AC410" s="15">
        <f t="shared" si="5"/>
        <v>0</v>
      </c>
      <c r="AD410" s="15">
        <f t="shared" si="6"/>
        <v>0</v>
      </c>
      <c r="AE410" s="15">
        <f t="shared" si="7"/>
        <v>0</v>
      </c>
      <c r="AF410" s="15">
        <f t="shared" si="8"/>
        <v>0</v>
      </c>
      <c r="AG410" s="15">
        <f t="shared" si="9"/>
        <v>0</v>
      </c>
      <c r="AH410" s="15">
        <f t="shared" si="10"/>
        <v>0</v>
      </c>
      <c r="AI410" s="52" t="s">
        <v>901</v>
      </c>
      <c r="AJ410" s="15">
        <f t="shared" si="11"/>
        <v>0</v>
      </c>
      <c r="AK410" s="15">
        <f t="shared" si="12"/>
        <v>0</v>
      </c>
      <c r="AL410" s="15">
        <f t="shared" si="13"/>
        <v>0</v>
      </c>
      <c r="AN410" s="15">
        <v>21</v>
      </c>
      <c r="AO410" s="15">
        <f t="shared" si="14"/>
        <v>0</v>
      </c>
      <c r="AP410" s="15">
        <f t="shared" si="15"/>
        <v>0</v>
      </c>
      <c r="AQ410" s="1" t="s">
        <v>829</v>
      </c>
      <c r="AV410" s="15">
        <f t="shared" si="16"/>
        <v>0</v>
      </c>
      <c r="AW410" s="15">
        <f t="shared" si="17"/>
        <v>0</v>
      </c>
      <c r="AX410" s="15">
        <f t="shared" si="18"/>
        <v>0</v>
      </c>
      <c r="AY410" s="1" t="s">
        <v>654</v>
      </c>
      <c r="AZ410" s="1" t="s">
        <v>299</v>
      </c>
      <c r="BA410" s="52" t="s">
        <v>56</v>
      </c>
      <c r="BC410" s="15">
        <f t="shared" si="19"/>
        <v>0</v>
      </c>
      <c r="BD410" s="15">
        <f t="shared" si="20"/>
        <v>0</v>
      </c>
      <c r="BE410" s="15">
        <v>0</v>
      </c>
      <c r="BF410" s="15">
        <f>410</f>
        <v>410</v>
      </c>
      <c r="BH410" s="15">
        <f t="shared" si="21"/>
        <v>0</v>
      </c>
      <c r="BI410" s="15">
        <f t="shared" si="22"/>
        <v>0</v>
      </c>
      <c r="BJ410" s="15">
        <f t="shared" si="23"/>
        <v>0</v>
      </c>
      <c r="BK410" s="15"/>
      <c r="BL410" s="15"/>
      <c r="BW410" s="15">
        <v>21</v>
      </c>
    </row>
    <row r="411" spans="1:75" ht="13.5" customHeight="1">
      <c r="A411" s="7" t="s">
        <v>375</v>
      </c>
      <c r="B411" s="11" t="s">
        <v>907</v>
      </c>
      <c r="C411" s="135" t="s">
        <v>906</v>
      </c>
      <c r="D411" s="130"/>
      <c r="E411" s="11" t="s">
        <v>545</v>
      </c>
      <c r="F411" s="15">
        <v>2</v>
      </c>
      <c r="G411" s="15">
        <v>0</v>
      </c>
      <c r="H411" s="15">
        <f t="shared" si="0"/>
        <v>0</v>
      </c>
      <c r="I411" s="15">
        <f t="shared" si="1"/>
        <v>0</v>
      </c>
      <c r="J411" s="15">
        <f t="shared" si="2"/>
        <v>0</v>
      </c>
      <c r="K411" s="12" t="s">
        <v>577</v>
      </c>
      <c r="Z411" s="15">
        <f t="shared" si="3"/>
        <v>0</v>
      </c>
      <c r="AB411" s="15">
        <f t="shared" si="4"/>
        <v>0</v>
      </c>
      <c r="AC411" s="15">
        <f t="shared" si="5"/>
        <v>0</v>
      </c>
      <c r="AD411" s="15">
        <f t="shared" si="6"/>
        <v>0</v>
      </c>
      <c r="AE411" s="15">
        <f t="shared" si="7"/>
        <v>0</v>
      </c>
      <c r="AF411" s="15">
        <f t="shared" si="8"/>
        <v>0</v>
      </c>
      <c r="AG411" s="15">
        <f t="shared" si="9"/>
        <v>0</v>
      </c>
      <c r="AH411" s="15">
        <f t="shared" si="10"/>
        <v>0</v>
      </c>
      <c r="AI411" s="52" t="s">
        <v>901</v>
      </c>
      <c r="AJ411" s="15">
        <f t="shared" si="11"/>
        <v>0</v>
      </c>
      <c r="AK411" s="15">
        <f t="shared" si="12"/>
        <v>0</v>
      </c>
      <c r="AL411" s="15">
        <f t="shared" si="13"/>
        <v>0</v>
      </c>
      <c r="AN411" s="15">
        <v>21</v>
      </c>
      <c r="AO411" s="15">
        <f t="shared" si="14"/>
        <v>0</v>
      </c>
      <c r="AP411" s="15">
        <f t="shared" si="15"/>
        <v>0</v>
      </c>
      <c r="AQ411" s="1" t="s">
        <v>829</v>
      </c>
      <c r="AV411" s="15">
        <f t="shared" si="16"/>
        <v>0</v>
      </c>
      <c r="AW411" s="15">
        <f t="shared" si="17"/>
        <v>0</v>
      </c>
      <c r="AX411" s="15">
        <f t="shared" si="18"/>
        <v>0</v>
      </c>
      <c r="AY411" s="1" t="s">
        <v>654</v>
      </c>
      <c r="AZ411" s="1" t="s">
        <v>299</v>
      </c>
      <c r="BA411" s="52" t="s">
        <v>56</v>
      </c>
      <c r="BC411" s="15">
        <f t="shared" si="19"/>
        <v>0</v>
      </c>
      <c r="BD411" s="15">
        <f t="shared" si="20"/>
        <v>0</v>
      </c>
      <c r="BE411" s="15">
        <v>0</v>
      </c>
      <c r="BF411" s="15">
        <f>411</f>
        <v>411</v>
      </c>
      <c r="BH411" s="15">
        <f t="shared" si="21"/>
        <v>0</v>
      </c>
      <c r="BI411" s="15">
        <f t="shared" si="22"/>
        <v>0</v>
      </c>
      <c r="BJ411" s="15">
        <f t="shared" si="23"/>
        <v>0</v>
      </c>
      <c r="BK411" s="15"/>
      <c r="BL411" s="15"/>
      <c r="BW411" s="15">
        <v>21</v>
      </c>
    </row>
    <row r="412" spans="1:75" ht="13.5" customHeight="1">
      <c r="A412" s="7" t="s">
        <v>271</v>
      </c>
      <c r="B412" s="11" t="s">
        <v>448</v>
      </c>
      <c r="C412" s="135" t="s">
        <v>686</v>
      </c>
      <c r="D412" s="130"/>
      <c r="E412" s="11" t="s">
        <v>649</v>
      </c>
      <c r="F412" s="15">
        <v>1</v>
      </c>
      <c r="G412" s="15">
        <v>0</v>
      </c>
      <c r="H412" s="15">
        <f t="shared" si="0"/>
        <v>0</v>
      </c>
      <c r="I412" s="15">
        <f t="shared" si="1"/>
        <v>0</v>
      </c>
      <c r="J412" s="15">
        <f t="shared" si="2"/>
        <v>0</v>
      </c>
      <c r="K412" s="12" t="s">
        <v>577</v>
      </c>
      <c r="Z412" s="15">
        <f t="shared" si="3"/>
        <v>0</v>
      </c>
      <c r="AB412" s="15">
        <f t="shared" si="4"/>
        <v>0</v>
      </c>
      <c r="AC412" s="15">
        <f t="shared" si="5"/>
        <v>0</v>
      </c>
      <c r="AD412" s="15">
        <f t="shared" si="6"/>
        <v>0</v>
      </c>
      <c r="AE412" s="15">
        <f t="shared" si="7"/>
        <v>0</v>
      </c>
      <c r="AF412" s="15">
        <f t="shared" si="8"/>
        <v>0</v>
      </c>
      <c r="AG412" s="15">
        <f t="shared" si="9"/>
        <v>0</v>
      </c>
      <c r="AH412" s="15">
        <f t="shared" si="10"/>
        <v>0</v>
      </c>
      <c r="AI412" s="52" t="s">
        <v>901</v>
      </c>
      <c r="AJ412" s="15">
        <f t="shared" si="11"/>
        <v>0</v>
      </c>
      <c r="AK412" s="15">
        <f t="shared" si="12"/>
        <v>0</v>
      </c>
      <c r="AL412" s="15">
        <f t="shared" si="13"/>
        <v>0</v>
      </c>
      <c r="AN412" s="15">
        <v>21</v>
      </c>
      <c r="AO412" s="15">
        <f t="shared" si="14"/>
        <v>0</v>
      </c>
      <c r="AP412" s="15">
        <f t="shared" si="15"/>
        <v>0</v>
      </c>
      <c r="AQ412" s="1" t="s">
        <v>829</v>
      </c>
      <c r="AV412" s="15">
        <f t="shared" si="16"/>
        <v>0</v>
      </c>
      <c r="AW412" s="15">
        <f t="shared" si="17"/>
        <v>0</v>
      </c>
      <c r="AX412" s="15">
        <f t="shared" si="18"/>
        <v>0</v>
      </c>
      <c r="AY412" s="1" t="s">
        <v>654</v>
      </c>
      <c r="AZ412" s="1" t="s">
        <v>299</v>
      </c>
      <c r="BA412" s="52" t="s">
        <v>56</v>
      </c>
      <c r="BC412" s="15">
        <f t="shared" si="19"/>
        <v>0</v>
      </c>
      <c r="BD412" s="15">
        <f t="shared" si="20"/>
        <v>0</v>
      </c>
      <c r="BE412" s="15">
        <v>0</v>
      </c>
      <c r="BF412" s="15">
        <f>412</f>
        <v>412</v>
      </c>
      <c r="BH412" s="15">
        <f t="shared" si="21"/>
        <v>0</v>
      </c>
      <c r="BI412" s="15">
        <f t="shared" si="22"/>
        <v>0</v>
      </c>
      <c r="BJ412" s="15">
        <f t="shared" si="23"/>
        <v>0</v>
      </c>
      <c r="BK412" s="15"/>
      <c r="BL412" s="15"/>
      <c r="BW412" s="15">
        <v>21</v>
      </c>
    </row>
    <row r="413" spans="1:75" ht="13.5" customHeight="1">
      <c r="A413" s="7" t="s">
        <v>578</v>
      </c>
      <c r="B413" s="11" t="s">
        <v>601</v>
      </c>
      <c r="C413" s="135" t="s">
        <v>210</v>
      </c>
      <c r="D413" s="130"/>
      <c r="E413" s="11" t="s">
        <v>415</v>
      </c>
      <c r="F413" s="15">
        <v>0.5</v>
      </c>
      <c r="G413" s="15">
        <v>0</v>
      </c>
      <c r="H413" s="15">
        <f t="shared" si="0"/>
        <v>0</v>
      </c>
      <c r="I413" s="15">
        <f t="shared" si="1"/>
        <v>0</v>
      </c>
      <c r="J413" s="15">
        <f t="shared" si="2"/>
        <v>0</v>
      </c>
      <c r="K413" s="12" t="s">
        <v>577</v>
      </c>
      <c r="Z413" s="15">
        <f t="shared" si="3"/>
        <v>0</v>
      </c>
      <c r="AB413" s="15">
        <f t="shared" si="4"/>
        <v>0</v>
      </c>
      <c r="AC413" s="15">
        <f t="shared" si="5"/>
        <v>0</v>
      </c>
      <c r="AD413" s="15">
        <f t="shared" si="6"/>
        <v>0</v>
      </c>
      <c r="AE413" s="15">
        <f t="shared" si="7"/>
        <v>0</v>
      </c>
      <c r="AF413" s="15">
        <f t="shared" si="8"/>
        <v>0</v>
      </c>
      <c r="AG413" s="15">
        <f t="shared" si="9"/>
        <v>0</v>
      </c>
      <c r="AH413" s="15">
        <f t="shared" si="10"/>
        <v>0</v>
      </c>
      <c r="AI413" s="52" t="s">
        <v>901</v>
      </c>
      <c r="AJ413" s="15">
        <f t="shared" si="11"/>
        <v>0</v>
      </c>
      <c r="AK413" s="15">
        <f t="shared" si="12"/>
        <v>0</v>
      </c>
      <c r="AL413" s="15">
        <f t="shared" si="13"/>
        <v>0</v>
      </c>
      <c r="AN413" s="15">
        <v>21</v>
      </c>
      <c r="AO413" s="15">
        <f t="shared" si="14"/>
        <v>0</v>
      </c>
      <c r="AP413" s="15">
        <f t="shared" si="15"/>
        <v>0</v>
      </c>
      <c r="AQ413" s="1" t="s">
        <v>829</v>
      </c>
      <c r="AV413" s="15">
        <f t="shared" si="16"/>
        <v>0</v>
      </c>
      <c r="AW413" s="15">
        <f t="shared" si="17"/>
        <v>0</v>
      </c>
      <c r="AX413" s="15">
        <f t="shared" si="18"/>
        <v>0</v>
      </c>
      <c r="AY413" s="1" t="s">
        <v>654</v>
      </c>
      <c r="AZ413" s="1" t="s">
        <v>299</v>
      </c>
      <c r="BA413" s="52" t="s">
        <v>56</v>
      </c>
      <c r="BC413" s="15">
        <f t="shared" si="19"/>
        <v>0</v>
      </c>
      <c r="BD413" s="15">
        <f t="shared" si="20"/>
        <v>0</v>
      </c>
      <c r="BE413" s="15">
        <v>0</v>
      </c>
      <c r="BF413" s="15">
        <f>413</f>
        <v>413</v>
      </c>
      <c r="BH413" s="15">
        <f t="shared" si="21"/>
        <v>0</v>
      </c>
      <c r="BI413" s="15">
        <f t="shared" si="22"/>
        <v>0</v>
      </c>
      <c r="BJ413" s="15">
        <f t="shared" si="23"/>
        <v>0</v>
      </c>
      <c r="BK413" s="15"/>
      <c r="BL413" s="15"/>
      <c r="BW413" s="15">
        <v>21</v>
      </c>
    </row>
    <row r="414" spans="1:75" ht="13.5" customHeight="1">
      <c r="A414" s="7" t="s">
        <v>778</v>
      </c>
      <c r="B414" s="11" t="s">
        <v>620</v>
      </c>
      <c r="C414" s="135" t="s">
        <v>397</v>
      </c>
      <c r="D414" s="130"/>
      <c r="E414" s="11" t="s">
        <v>649</v>
      </c>
      <c r="F414" s="15">
        <v>1</v>
      </c>
      <c r="G414" s="15">
        <v>0</v>
      </c>
      <c r="H414" s="15">
        <f t="shared" si="0"/>
        <v>0</v>
      </c>
      <c r="I414" s="15">
        <f t="shared" si="1"/>
        <v>0</v>
      </c>
      <c r="J414" s="15">
        <f t="shared" si="2"/>
        <v>0</v>
      </c>
      <c r="K414" s="12" t="s">
        <v>577</v>
      </c>
      <c r="Z414" s="15">
        <f t="shared" si="3"/>
        <v>0</v>
      </c>
      <c r="AB414" s="15">
        <f t="shared" si="4"/>
        <v>0</v>
      </c>
      <c r="AC414" s="15">
        <f t="shared" si="5"/>
        <v>0</v>
      </c>
      <c r="AD414" s="15">
        <f t="shared" si="6"/>
        <v>0</v>
      </c>
      <c r="AE414" s="15">
        <f t="shared" si="7"/>
        <v>0</v>
      </c>
      <c r="AF414" s="15">
        <f t="shared" si="8"/>
        <v>0</v>
      </c>
      <c r="AG414" s="15">
        <f t="shared" si="9"/>
        <v>0</v>
      </c>
      <c r="AH414" s="15">
        <f t="shared" si="10"/>
        <v>0</v>
      </c>
      <c r="AI414" s="52" t="s">
        <v>901</v>
      </c>
      <c r="AJ414" s="15">
        <f t="shared" si="11"/>
        <v>0</v>
      </c>
      <c r="AK414" s="15">
        <f t="shared" si="12"/>
        <v>0</v>
      </c>
      <c r="AL414" s="15">
        <f t="shared" si="13"/>
        <v>0</v>
      </c>
      <c r="AN414" s="15">
        <v>21</v>
      </c>
      <c r="AO414" s="15">
        <f t="shared" si="14"/>
        <v>0</v>
      </c>
      <c r="AP414" s="15">
        <f t="shared" si="15"/>
        <v>0</v>
      </c>
      <c r="AQ414" s="1" t="s">
        <v>829</v>
      </c>
      <c r="AV414" s="15">
        <f t="shared" si="16"/>
        <v>0</v>
      </c>
      <c r="AW414" s="15">
        <f t="shared" si="17"/>
        <v>0</v>
      </c>
      <c r="AX414" s="15">
        <f t="shared" si="18"/>
        <v>0</v>
      </c>
      <c r="AY414" s="1" t="s">
        <v>654</v>
      </c>
      <c r="AZ414" s="1" t="s">
        <v>299</v>
      </c>
      <c r="BA414" s="52" t="s">
        <v>56</v>
      </c>
      <c r="BC414" s="15">
        <f t="shared" si="19"/>
        <v>0</v>
      </c>
      <c r="BD414" s="15">
        <f t="shared" si="20"/>
        <v>0</v>
      </c>
      <c r="BE414" s="15">
        <v>0</v>
      </c>
      <c r="BF414" s="15">
        <f>414</f>
        <v>414</v>
      </c>
      <c r="BH414" s="15">
        <f t="shared" si="21"/>
        <v>0</v>
      </c>
      <c r="BI414" s="15">
        <f t="shared" si="22"/>
        <v>0</v>
      </c>
      <c r="BJ414" s="15">
        <f t="shared" si="23"/>
        <v>0</v>
      </c>
      <c r="BK414" s="15"/>
      <c r="BL414" s="15"/>
      <c r="BW414" s="15">
        <v>21</v>
      </c>
    </row>
    <row r="415" spans="1:75" ht="13.5" customHeight="1">
      <c r="A415" s="7" t="s">
        <v>215</v>
      </c>
      <c r="B415" s="11" t="s">
        <v>59</v>
      </c>
      <c r="C415" s="135" t="s">
        <v>833</v>
      </c>
      <c r="D415" s="130"/>
      <c r="E415" s="11" t="s">
        <v>649</v>
      </c>
      <c r="F415" s="15">
        <v>1</v>
      </c>
      <c r="G415" s="15">
        <v>0</v>
      </c>
      <c r="H415" s="15">
        <f t="shared" si="0"/>
        <v>0</v>
      </c>
      <c r="I415" s="15">
        <f t="shared" si="1"/>
        <v>0</v>
      </c>
      <c r="J415" s="15">
        <f t="shared" si="2"/>
        <v>0</v>
      </c>
      <c r="K415" s="12" t="s">
        <v>577</v>
      </c>
      <c r="Z415" s="15">
        <f t="shared" si="3"/>
        <v>0</v>
      </c>
      <c r="AB415" s="15">
        <f t="shared" si="4"/>
        <v>0</v>
      </c>
      <c r="AC415" s="15">
        <f t="shared" si="5"/>
        <v>0</v>
      </c>
      <c r="AD415" s="15">
        <f t="shared" si="6"/>
        <v>0</v>
      </c>
      <c r="AE415" s="15">
        <f t="shared" si="7"/>
        <v>0</v>
      </c>
      <c r="AF415" s="15">
        <f t="shared" si="8"/>
        <v>0</v>
      </c>
      <c r="AG415" s="15">
        <f t="shared" si="9"/>
        <v>0</v>
      </c>
      <c r="AH415" s="15">
        <f t="shared" si="10"/>
        <v>0</v>
      </c>
      <c r="AI415" s="52" t="s">
        <v>901</v>
      </c>
      <c r="AJ415" s="15">
        <f t="shared" si="11"/>
        <v>0</v>
      </c>
      <c r="AK415" s="15">
        <f t="shared" si="12"/>
        <v>0</v>
      </c>
      <c r="AL415" s="15">
        <f t="shared" si="13"/>
        <v>0</v>
      </c>
      <c r="AN415" s="15">
        <v>21</v>
      </c>
      <c r="AO415" s="15">
        <f t="shared" si="14"/>
        <v>0</v>
      </c>
      <c r="AP415" s="15">
        <f t="shared" si="15"/>
        <v>0</v>
      </c>
      <c r="AQ415" s="1" t="s">
        <v>829</v>
      </c>
      <c r="AV415" s="15">
        <f t="shared" si="16"/>
        <v>0</v>
      </c>
      <c r="AW415" s="15">
        <f t="shared" si="17"/>
        <v>0</v>
      </c>
      <c r="AX415" s="15">
        <f t="shared" si="18"/>
        <v>0</v>
      </c>
      <c r="AY415" s="1" t="s">
        <v>654</v>
      </c>
      <c r="AZ415" s="1" t="s">
        <v>299</v>
      </c>
      <c r="BA415" s="52" t="s">
        <v>56</v>
      </c>
      <c r="BC415" s="15">
        <f t="shared" si="19"/>
        <v>0</v>
      </c>
      <c r="BD415" s="15">
        <f t="shared" si="20"/>
        <v>0</v>
      </c>
      <c r="BE415" s="15">
        <v>0</v>
      </c>
      <c r="BF415" s="15">
        <f>415</f>
        <v>415</v>
      </c>
      <c r="BH415" s="15">
        <f t="shared" si="21"/>
        <v>0</v>
      </c>
      <c r="BI415" s="15">
        <f t="shared" si="22"/>
        <v>0</v>
      </c>
      <c r="BJ415" s="15">
        <f t="shared" si="23"/>
        <v>0</v>
      </c>
      <c r="BK415" s="15"/>
      <c r="BL415" s="15"/>
      <c r="BW415" s="15">
        <v>21</v>
      </c>
    </row>
    <row r="416" spans="1:11" ht="15" customHeight="1">
      <c r="A416" s="53"/>
      <c r="C416" s="66" t="s">
        <v>829</v>
      </c>
      <c r="D416" s="18" t="s">
        <v>624</v>
      </c>
      <c r="F416" s="13">
        <v>1</v>
      </c>
      <c r="K416" s="32"/>
    </row>
    <row r="417" spans="1:75" ht="13.5" customHeight="1">
      <c r="A417" s="7" t="s">
        <v>884</v>
      </c>
      <c r="B417" s="11" t="s">
        <v>550</v>
      </c>
      <c r="C417" s="135" t="s">
        <v>173</v>
      </c>
      <c r="D417" s="130"/>
      <c r="E417" s="11" t="s">
        <v>649</v>
      </c>
      <c r="F417" s="15">
        <v>1</v>
      </c>
      <c r="G417" s="15">
        <v>0</v>
      </c>
      <c r="H417" s="15">
        <f>F417*AO417</f>
        <v>0</v>
      </c>
      <c r="I417" s="15">
        <f>F417*AP417</f>
        <v>0</v>
      </c>
      <c r="J417" s="15">
        <f>F417*G417</f>
        <v>0</v>
      </c>
      <c r="K417" s="12" t="s">
        <v>577</v>
      </c>
      <c r="Z417" s="15">
        <f>IF(AQ417="5",BJ417,0)</f>
        <v>0</v>
      </c>
      <c r="AB417" s="15">
        <f>IF(AQ417="1",BH417,0)</f>
        <v>0</v>
      </c>
      <c r="AC417" s="15">
        <f>IF(AQ417="1",BI417,0)</f>
        <v>0</v>
      </c>
      <c r="AD417" s="15">
        <f>IF(AQ417="7",BH417,0)</f>
        <v>0</v>
      </c>
      <c r="AE417" s="15">
        <f>IF(AQ417="7",BI417,0)</f>
        <v>0</v>
      </c>
      <c r="AF417" s="15">
        <f>IF(AQ417="2",BH417,0)</f>
        <v>0</v>
      </c>
      <c r="AG417" s="15">
        <f>IF(AQ417="2",BI417,0)</f>
        <v>0</v>
      </c>
      <c r="AH417" s="15">
        <f>IF(AQ417="0",BJ417,0)</f>
        <v>0</v>
      </c>
      <c r="AI417" s="52" t="s">
        <v>901</v>
      </c>
      <c r="AJ417" s="15">
        <f>IF(AN417=0,J417,0)</f>
        <v>0</v>
      </c>
      <c r="AK417" s="15">
        <f>IF(AN417=12,J417,0)</f>
        <v>0</v>
      </c>
      <c r="AL417" s="15">
        <f>IF(AN417=21,J417,0)</f>
        <v>0</v>
      </c>
      <c r="AN417" s="15">
        <v>21</v>
      </c>
      <c r="AO417" s="15">
        <f>G417*0</f>
        <v>0</v>
      </c>
      <c r="AP417" s="15">
        <f>G417*(1-0)</f>
        <v>0</v>
      </c>
      <c r="AQ417" s="1" t="s">
        <v>829</v>
      </c>
      <c r="AV417" s="15">
        <f>AW417+AX417</f>
        <v>0</v>
      </c>
      <c r="AW417" s="15">
        <f>F417*AO417</f>
        <v>0</v>
      </c>
      <c r="AX417" s="15">
        <f>F417*AP417</f>
        <v>0</v>
      </c>
      <c r="AY417" s="1" t="s">
        <v>654</v>
      </c>
      <c r="AZ417" s="1" t="s">
        <v>299</v>
      </c>
      <c r="BA417" s="52" t="s">
        <v>56</v>
      </c>
      <c r="BC417" s="15">
        <f>AW417+AX417</f>
        <v>0</v>
      </c>
      <c r="BD417" s="15">
        <f>G417/(100-BE417)*100</f>
        <v>0</v>
      </c>
      <c r="BE417" s="15">
        <v>0</v>
      </c>
      <c r="BF417" s="15">
        <f>417</f>
        <v>417</v>
      </c>
      <c r="BH417" s="15">
        <f>F417*AO417</f>
        <v>0</v>
      </c>
      <c r="BI417" s="15">
        <f>F417*AP417</f>
        <v>0</v>
      </c>
      <c r="BJ417" s="15">
        <f>F417*G417</f>
        <v>0</v>
      </c>
      <c r="BK417" s="15"/>
      <c r="BL417" s="15"/>
      <c r="BW417" s="15">
        <v>21</v>
      </c>
    </row>
    <row r="418" spans="1:11" ht="15" customHeight="1">
      <c r="A418" s="53"/>
      <c r="C418" s="66" t="s">
        <v>829</v>
      </c>
      <c r="D418" s="18" t="s">
        <v>675</v>
      </c>
      <c r="F418" s="13">
        <v>1</v>
      </c>
      <c r="K418" s="32"/>
    </row>
    <row r="419" spans="1:75" ht="13.5" customHeight="1">
      <c r="A419" s="7" t="s">
        <v>373</v>
      </c>
      <c r="B419" s="11" t="s">
        <v>287</v>
      </c>
      <c r="C419" s="135" t="s">
        <v>603</v>
      </c>
      <c r="D419" s="130"/>
      <c r="E419" s="11" t="s">
        <v>649</v>
      </c>
      <c r="F419" s="15">
        <v>1</v>
      </c>
      <c r="G419" s="15">
        <v>0</v>
      </c>
      <c r="H419" s="15">
        <f>F419*AO419</f>
        <v>0</v>
      </c>
      <c r="I419" s="15">
        <f>F419*AP419</f>
        <v>0</v>
      </c>
      <c r="J419" s="15">
        <f>F419*G419</f>
        <v>0</v>
      </c>
      <c r="K419" s="12" t="s">
        <v>577</v>
      </c>
      <c r="Z419" s="15">
        <f>IF(AQ419="5",BJ419,0)</f>
        <v>0</v>
      </c>
      <c r="AB419" s="15">
        <f>IF(AQ419="1",BH419,0)</f>
        <v>0</v>
      </c>
      <c r="AC419" s="15">
        <f>IF(AQ419="1",BI419,0)</f>
        <v>0</v>
      </c>
      <c r="AD419" s="15">
        <f>IF(AQ419="7",BH419,0)</f>
        <v>0</v>
      </c>
      <c r="AE419" s="15">
        <f>IF(AQ419="7",BI419,0)</f>
        <v>0</v>
      </c>
      <c r="AF419" s="15">
        <f>IF(AQ419="2",BH419,0)</f>
        <v>0</v>
      </c>
      <c r="AG419" s="15">
        <f>IF(AQ419="2",BI419,0)</f>
        <v>0</v>
      </c>
      <c r="AH419" s="15">
        <f>IF(AQ419="0",BJ419,0)</f>
        <v>0</v>
      </c>
      <c r="AI419" s="52" t="s">
        <v>901</v>
      </c>
      <c r="AJ419" s="15">
        <f>IF(AN419=0,J419,0)</f>
        <v>0</v>
      </c>
      <c r="AK419" s="15">
        <f>IF(AN419=12,J419,0)</f>
        <v>0</v>
      </c>
      <c r="AL419" s="15">
        <f>IF(AN419=21,J419,0)</f>
        <v>0</v>
      </c>
      <c r="AN419" s="15">
        <v>21</v>
      </c>
      <c r="AO419" s="15">
        <f>G419*0</f>
        <v>0</v>
      </c>
      <c r="AP419" s="15">
        <f>G419*(1-0)</f>
        <v>0</v>
      </c>
      <c r="AQ419" s="1" t="s">
        <v>829</v>
      </c>
      <c r="AV419" s="15">
        <f>AW419+AX419</f>
        <v>0</v>
      </c>
      <c r="AW419" s="15">
        <f>F419*AO419</f>
        <v>0</v>
      </c>
      <c r="AX419" s="15">
        <f>F419*AP419</f>
        <v>0</v>
      </c>
      <c r="AY419" s="1" t="s">
        <v>654</v>
      </c>
      <c r="AZ419" s="1" t="s">
        <v>299</v>
      </c>
      <c r="BA419" s="52" t="s">
        <v>56</v>
      </c>
      <c r="BC419" s="15">
        <f>AW419+AX419</f>
        <v>0</v>
      </c>
      <c r="BD419" s="15">
        <f>G419/(100-BE419)*100</f>
        <v>0</v>
      </c>
      <c r="BE419" s="15">
        <v>0</v>
      </c>
      <c r="BF419" s="15">
        <f>419</f>
        <v>419</v>
      </c>
      <c r="BH419" s="15">
        <f>F419*AO419</f>
        <v>0</v>
      </c>
      <c r="BI419" s="15">
        <f>F419*AP419</f>
        <v>0</v>
      </c>
      <c r="BJ419" s="15">
        <f>F419*G419</f>
        <v>0</v>
      </c>
      <c r="BK419" s="15"/>
      <c r="BL419" s="15"/>
      <c r="BW419" s="15">
        <v>21</v>
      </c>
    </row>
    <row r="420" spans="1:11" ht="15" customHeight="1">
      <c r="A420" s="53"/>
      <c r="C420" s="66" t="s">
        <v>829</v>
      </c>
      <c r="D420" s="18" t="s">
        <v>624</v>
      </c>
      <c r="F420" s="13">
        <v>1</v>
      </c>
      <c r="K420" s="32"/>
    </row>
    <row r="421" spans="1:75" ht="13.5" customHeight="1">
      <c r="A421" s="7" t="s">
        <v>766</v>
      </c>
      <c r="B421" s="11" t="s">
        <v>625</v>
      </c>
      <c r="C421" s="135" t="s">
        <v>639</v>
      </c>
      <c r="D421" s="130"/>
      <c r="E421" s="11" t="s">
        <v>649</v>
      </c>
      <c r="F421" s="15">
        <v>1</v>
      </c>
      <c r="G421" s="15">
        <v>0</v>
      </c>
      <c r="H421" s="15">
        <f>F421*AO421</f>
        <v>0</v>
      </c>
      <c r="I421" s="15">
        <f>F421*AP421</f>
        <v>0</v>
      </c>
      <c r="J421" s="15">
        <f>F421*G421</f>
        <v>0</v>
      </c>
      <c r="K421" s="12" t="s">
        <v>577</v>
      </c>
      <c r="Z421" s="15">
        <f>IF(AQ421="5",BJ421,0)</f>
        <v>0</v>
      </c>
      <c r="AB421" s="15">
        <f>IF(AQ421="1",BH421,0)</f>
        <v>0</v>
      </c>
      <c r="AC421" s="15">
        <f>IF(AQ421="1",BI421,0)</f>
        <v>0</v>
      </c>
      <c r="AD421" s="15">
        <f>IF(AQ421="7",BH421,0)</f>
        <v>0</v>
      </c>
      <c r="AE421" s="15">
        <f>IF(AQ421="7",BI421,0)</f>
        <v>0</v>
      </c>
      <c r="AF421" s="15">
        <f>IF(AQ421="2",BH421,0)</f>
        <v>0</v>
      </c>
      <c r="AG421" s="15">
        <f>IF(AQ421="2",BI421,0)</f>
        <v>0</v>
      </c>
      <c r="AH421" s="15">
        <f>IF(AQ421="0",BJ421,0)</f>
        <v>0</v>
      </c>
      <c r="AI421" s="52" t="s">
        <v>901</v>
      </c>
      <c r="AJ421" s="15">
        <f>IF(AN421=0,J421,0)</f>
        <v>0</v>
      </c>
      <c r="AK421" s="15">
        <f>IF(AN421=12,J421,0)</f>
        <v>0</v>
      </c>
      <c r="AL421" s="15">
        <f>IF(AN421=21,J421,0)</f>
        <v>0</v>
      </c>
      <c r="AN421" s="15">
        <v>21</v>
      </c>
      <c r="AO421" s="15">
        <f>G421*0</f>
        <v>0</v>
      </c>
      <c r="AP421" s="15">
        <f>G421*(1-0)</f>
        <v>0</v>
      </c>
      <c r="AQ421" s="1" t="s">
        <v>829</v>
      </c>
      <c r="AV421" s="15">
        <f>AW421+AX421</f>
        <v>0</v>
      </c>
      <c r="AW421" s="15">
        <f>F421*AO421</f>
        <v>0</v>
      </c>
      <c r="AX421" s="15">
        <f>F421*AP421</f>
        <v>0</v>
      </c>
      <c r="AY421" s="1" t="s">
        <v>654</v>
      </c>
      <c r="AZ421" s="1" t="s">
        <v>299</v>
      </c>
      <c r="BA421" s="52" t="s">
        <v>56</v>
      </c>
      <c r="BC421" s="15">
        <f>AW421+AX421</f>
        <v>0</v>
      </c>
      <c r="BD421" s="15">
        <f>G421/(100-BE421)*100</f>
        <v>0</v>
      </c>
      <c r="BE421" s="15">
        <v>0</v>
      </c>
      <c r="BF421" s="15">
        <f>421</f>
        <v>421</v>
      </c>
      <c r="BH421" s="15">
        <f>F421*AO421</f>
        <v>0</v>
      </c>
      <c r="BI421" s="15">
        <f>F421*AP421</f>
        <v>0</v>
      </c>
      <c r="BJ421" s="15">
        <f>F421*G421</f>
        <v>0</v>
      </c>
      <c r="BK421" s="15"/>
      <c r="BL421" s="15"/>
      <c r="BW421" s="15">
        <v>21</v>
      </c>
    </row>
    <row r="422" spans="1:11" ht="15" customHeight="1">
      <c r="A422" s="53"/>
      <c r="C422" s="66" t="s">
        <v>829</v>
      </c>
      <c r="D422" s="18" t="s">
        <v>902</v>
      </c>
      <c r="F422" s="13">
        <v>1</v>
      </c>
      <c r="K422" s="32"/>
    </row>
    <row r="423" spans="1:11" ht="15" customHeight="1">
      <c r="A423" s="4" t="s">
        <v>577</v>
      </c>
      <c r="B423" s="25" t="s">
        <v>577</v>
      </c>
      <c r="C423" s="200" t="s">
        <v>650</v>
      </c>
      <c r="D423" s="209"/>
      <c r="E423" s="48" t="s">
        <v>774</v>
      </c>
      <c r="F423" s="48" t="s">
        <v>774</v>
      </c>
      <c r="G423" s="48" t="s">
        <v>774</v>
      </c>
      <c r="H423" s="6">
        <f>H425+H440+H445+H470+H474+H478</f>
        <v>0</v>
      </c>
      <c r="I423" s="6">
        <f>I425+I440+I445+I470+I474+I478</f>
        <v>0</v>
      </c>
      <c r="J423" s="6">
        <f>J425+J440+J445+J470+J474+J478</f>
        <v>0</v>
      </c>
      <c r="K423" s="79" t="s">
        <v>577</v>
      </c>
    </row>
    <row r="424" spans="1:35" ht="15" customHeight="1">
      <c r="A424" s="17" t="s">
        <v>577</v>
      </c>
      <c r="B424" s="20" t="s">
        <v>577</v>
      </c>
      <c r="C424" s="201" t="s">
        <v>503</v>
      </c>
      <c r="D424" s="210"/>
      <c r="E424" s="14" t="s">
        <v>774</v>
      </c>
      <c r="F424" s="14" t="s">
        <v>774</v>
      </c>
      <c r="G424" s="14" t="s">
        <v>774</v>
      </c>
      <c r="H424" s="68">
        <f>H425+H440+H445+H470+H474+H478</f>
        <v>0</v>
      </c>
      <c r="I424" s="68">
        <f>I425+I440+I445+I470+I474+I478</f>
        <v>0</v>
      </c>
      <c r="J424" s="68">
        <f>J425+J440+J445+J470+J474+J478</f>
        <v>0</v>
      </c>
      <c r="K424" s="42" t="s">
        <v>577</v>
      </c>
      <c r="AI424" s="52" t="s">
        <v>650</v>
      </c>
    </row>
    <row r="425" spans="1:47" ht="15" customHeight="1">
      <c r="A425" s="17" t="s">
        <v>577</v>
      </c>
      <c r="B425" s="20" t="s">
        <v>614</v>
      </c>
      <c r="C425" s="201" t="s">
        <v>421</v>
      </c>
      <c r="D425" s="210"/>
      <c r="E425" s="14" t="s">
        <v>774</v>
      </c>
      <c r="F425" s="14" t="s">
        <v>774</v>
      </c>
      <c r="G425" s="14" t="s">
        <v>774</v>
      </c>
      <c r="H425" s="68">
        <f>SUM(H426:H437)</f>
        <v>0</v>
      </c>
      <c r="I425" s="68">
        <f>SUM(I426:I437)</f>
        <v>0</v>
      </c>
      <c r="J425" s="68">
        <f>SUM(J426:J437)</f>
        <v>0</v>
      </c>
      <c r="K425" s="42" t="s">
        <v>577</v>
      </c>
      <c r="AI425" s="52" t="s">
        <v>650</v>
      </c>
      <c r="AS425" s="68">
        <f>SUM(AJ426:AJ437)</f>
        <v>0</v>
      </c>
      <c r="AT425" s="68">
        <f>SUM(AK426:AK437)</f>
        <v>0</v>
      </c>
      <c r="AU425" s="68">
        <f>SUM(AL426:AL437)</f>
        <v>0</v>
      </c>
    </row>
    <row r="426" spans="1:75" ht="13.5" customHeight="1">
      <c r="A426" s="7" t="s">
        <v>612</v>
      </c>
      <c r="B426" s="11" t="s">
        <v>236</v>
      </c>
      <c r="C426" s="135" t="s">
        <v>822</v>
      </c>
      <c r="D426" s="130"/>
      <c r="E426" s="11" t="s">
        <v>567</v>
      </c>
      <c r="F426" s="15">
        <v>1</v>
      </c>
      <c r="G426" s="15">
        <v>0</v>
      </c>
      <c r="H426" s="15">
        <f>F426*AO426</f>
        <v>0</v>
      </c>
      <c r="I426" s="15">
        <f>F426*AP426</f>
        <v>0</v>
      </c>
      <c r="J426" s="15">
        <f>F426*G426</f>
        <v>0</v>
      </c>
      <c r="K426" s="12" t="s">
        <v>577</v>
      </c>
      <c r="Z426" s="15">
        <f>IF(AQ426="5",BJ426,0)</f>
        <v>0</v>
      </c>
      <c r="AB426" s="15">
        <f>IF(AQ426="1",BH426,0)</f>
        <v>0</v>
      </c>
      <c r="AC426" s="15">
        <f>IF(AQ426="1",BI426,0)</f>
        <v>0</v>
      </c>
      <c r="AD426" s="15">
        <f>IF(AQ426="7",BH426,0)</f>
        <v>0</v>
      </c>
      <c r="AE426" s="15">
        <f>IF(AQ426="7",BI426,0)</f>
        <v>0</v>
      </c>
      <c r="AF426" s="15">
        <f>IF(AQ426="2",BH426,0)</f>
        <v>0</v>
      </c>
      <c r="AG426" s="15">
        <f>IF(AQ426="2",BI426,0)</f>
        <v>0</v>
      </c>
      <c r="AH426" s="15">
        <f>IF(AQ426="0",BJ426,0)</f>
        <v>0</v>
      </c>
      <c r="AI426" s="52" t="s">
        <v>650</v>
      </c>
      <c r="AJ426" s="15">
        <f>IF(AN426=0,J426,0)</f>
        <v>0</v>
      </c>
      <c r="AK426" s="15">
        <f>IF(AN426=12,J426,0)</f>
        <v>0</v>
      </c>
      <c r="AL426" s="15">
        <f>IF(AN426=21,J426,0)</f>
        <v>0</v>
      </c>
      <c r="AN426" s="15">
        <v>21</v>
      </c>
      <c r="AO426" s="15">
        <f>G426*0</f>
        <v>0</v>
      </c>
      <c r="AP426" s="15">
        <f>G426*(1-0)</f>
        <v>0</v>
      </c>
      <c r="AQ426" s="1" t="s">
        <v>419</v>
      </c>
      <c r="AV426" s="15">
        <f>AW426+AX426</f>
        <v>0</v>
      </c>
      <c r="AW426" s="15">
        <f>F426*AO426</f>
        <v>0</v>
      </c>
      <c r="AX426" s="15">
        <f>F426*AP426</f>
        <v>0</v>
      </c>
      <c r="AY426" s="1" t="s">
        <v>431</v>
      </c>
      <c r="AZ426" s="1" t="s">
        <v>894</v>
      </c>
      <c r="BA426" s="52" t="s">
        <v>160</v>
      </c>
      <c r="BC426" s="15">
        <f>AW426+AX426</f>
        <v>0</v>
      </c>
      <c r="BD426" s="15">
        <f>G426/(100-BE426)*100</f>
        <v>0</v>
      </c>
      <c r="BE426" s="15">
        <v>0</v>
      </c>
      <c r="BF426" s="15">
        <f>426</f>
        <v>426</v>
      </c>
      <c r="BH426" s="15">
        <f>F426*AO426</f>
        <v>0</v>
      </c>
      <c r="BI426" s="15">
        <f>F426*AP426</f>
        <v>0</v>
      </c>
      <c r="BJ426" s="15">
        <f>F426*G426</f>
        <v>0</v>
      </c>
      <c r="BK426" s="15"/>
      <c r="BL426" s="15"/>
      <c r="BM426" s="15">
        <f>F426*G426</f>
        <v>0</v>
      </c>
      <c r="BW426" s="15">
        <v>21</v>
      </c>
    </row>
    <row r="427" spans="1:11" ht="15" customHeight="1">
      <c r="A427" s="53"/>
      <c r="C427" s="66" t="s">
        <v>829</v>
      </c>
      <c r="D427" s="18" t="s">
        <v>577</v>
      </c>
      <c r="F427" s="13">
        <v>1</v>
      </c>
      <c r="K427" s="32"/>
    </row>
    <row r="428" spans="1:75" ht="13.5" customHeight="1">
      <c r="A428" s="7" t="s">
        <v>785</v>
      </c>
      <c r="B428" s="11" t="s">
        <v>12</v>
      </c>
      <c r="C428" s="135" t="s">
        <v>295</v>
      </c>
      <c r="D428" s="130"/>
      <c r="E428" s="11" t="s">
        <v>567</v>
      </c>
      <c r="F428" s="15">
        <v>1</v>
      </c>
      <c r="G428" s="15">
        <v>0</v>
      </c>
      <c r="H428" s="15">
        <f>F428*AO428</f>
        <v>0</v>
      </c>
      <c r="I428" s="15">
        <f>F428*AP428</f>
        <v>0</v>
      </c>
      <c r="J428" s="15">
        <f>F428*G428</f>
        <v>0</v>
      </c>
      <c r="K428" s="12" t="s">
        <v>577</v>
      </c>
      <c r="Z428" s="15">
        <f>IF(AQ428="5",BJ428,0)</f>
        <v>0</v>
      </c>
      <c r="AB428" s="15">
        <f>IF(AQ428="1",BH428,0)</f>
        <v>0</v>
      </c>
      <c r="AC428" s="15">
        <f>IF(AQ428="1",BI428,0)</f>
        <v>0</v>
      </c>
      <c r="AD428" s="15">
        <f>IF(AQ428="7",BH428,0)</f>
        <v>0</v>
      </c>
      <c r="AE428" s="15">
        <f>IF(AQ428="7",BI428,0)</f>
        <v>0</v>
      </c>
      <c r="AF428" s="15">
        <f>IF(AQ428="2",BH428,0)</f>
        <v>0</v>
      </c>
      <c r="AG428" s="15">
        <f>IF(AQ428="2",BI428,0)</f>
        <v>0</v>
      </c>
      <c r="AH428" s="15">
        <f>IF(AQ428="0",BJ428,0)</f>
        <v>0</v>
      </c>
      <c r="AI428" s="52" t="s">
        <v>650</v>
      </c>
      <c r="AJ428" s="15">
        <f>IF(AN428=0,J428,0)</f>
        <v>0</v>
      </c>
      <c r="AK428" s="15">
        <f>IF(AN428=12,J428,0)</f>
        <v>0</v>
      </c>
      <c r="AL428" s="15">
        <f>IF(AN428=21,J428,0)</f>
        <v>0</v>
      </c>
      <c r="AN428" s="15">
        <v>21</v>
      </c>
      <c r="AO428" s="15">
        <f>G428*0</f>
        <v>0</v>
      </c>
      <c r="AP428" s="15">
        <f>G428*(1-0)</f>
        <v>0</v>
      </c>
      <c r="AQ428" s="1" t="s">
        <v>419</v>
      </c>
      <c r="AV428" s="15">
        <f>AW428+AX428</f>
        <v>0</v>
      </c>
      <c r="AW428" s="15">
        <f>F428*AO428</f>
        <v>0</v>
      </c>
      <c r="AX428" s="15">
        <f>F428*AP428</f>
        <v>0</v>
      </c>
      <c r="AY428" s="1" t="s">
        <v>431</v>
      </c>
      <c r="AZ428" s="1" t="s">
        <v>894</v>
      </c>
      <c r="BA428" s="52" t="s">
        <v>160</v>
      </c>
      <c r="BC428" s="15">
        <f>AW428+AX428</f>
        <v>0</v>
      </c>
      <c r="BD428" s="15">
        <f>G428/(100-BE428)*100</f>
        <v>0</v>
      </c>
      <c r="BE428" s="15">
        <v>0</v>
      </c>
      <c r="BF428" s="15">
        <f>428</f>
        <v>428</v>
      </c>
      <c r="BH428" s="15">
        <f>F428*AO428</f>
        <v>0</v>
      </c>
      <c r="BI428" s="15">
        <f>F428*AP428</f>
        <v>0</v>
      </c>
      <c r="BJ428" s="15">
        <f>F428*G428</f>
        <v>0</v>
      </c>
      <c r="BK428" s="15"/>
      <c r="BL428" s="15"/>
      <c r="BM428" s="15">
        <f>F428*G428</f>
        <v>0</v>
      </c>
      <c r="BW428" s="15">
        <v>21</v>
      </c>
    </row>
    <row r="429" spans="1:11" ht="15" customHeight="1">
      <c r="A429" s="53"/>
      <c r="C429" s="66" t="s">
        <v>829</v>
      </c>
      <c r="D429" s="18" t="s">
        <v>577</v>
      </c>
      <c r="F429" s="13">
        <v>1</v>
      </c>
      <c r="K429" s="32"/>
    </row>
    <row r="430" spans="1:75" ht="13.5" customHeight="1">
      <c r="A430" s="7" t="s">
        <v>166</v>
      </c>
      <c r="B430" s="11" t="s">
        <v>548</v>
      </c>
      <c r="C430" s="135" t="s">
        <v>828</v>
      </c>
      <c r="D430" s="130"/>
      <c r="E430" s="11" t="s">
        <v>567</v>
      </c>
      <c r="F430" s="15">
        <v>1</v>
      </c>
      <c r="G430" s="15">
        <v>0</v>
      </c>
      <c r="H430" s="15">
        <f>F430*AO430</f>
        <v>0</v>
      </c>
      <c r="I430" s="15">
        <f>F430*AP430</f>
        <v>0</v>
      </c>
      <c r="J430" s="15">
        <f>F430*G430</f>
        <v>0</v>
      </c>
      <c r="K430" s="12" t="s">
        <v>577</v>
      </c>
      <c r="Z430" s="15">
        <f>IF(AQ430="5",BJ430,0)</f>
        <v>0</v>
      </c>
      <c r="AB430" s="15">
        <f>IF(AQ430="1",BH430,0)</f>
        <v>0</v>
      </c>
      <c r="AC430" s="15">
        <f>IF(AQ430="1",BI430,0)</f>
        <v>0</v>
      </c>
      <c r="AD430" s="15">
        <f>IF(AQ430="7",BH430,0)</f>
        <v>0</v>
      </c>
      <c r="AE430" s="15">
        <f>IF(AQ430="7",BI430,0)</f>
        <v>0</v>
      </c>
      <c r="AF430" s="15">
        <f>IF(AQ430="2",BH430,0)</f>
        <v>0</v>
      </c>
      <c r="AG430" s="15">
        <f>IF(AQ430="2",BI430,0)</f>
        <v>0</v>
      </c>
      <c r="AH430" s="15">
        <f>IF(AQ430="0",BJ430,0)</f>
        <v>0</v>
      </c>
      <c r="AI430" s="52" t="s">
        <v>650</v>
      </c>
      <c r="AJ430" s="15">
        <f>IF(AN430=0,J430,0)</f>
        <v>0</v>
      </c>
      <c r="AK430" s="15">
        <f>IF(AN430=12,J430,0)</f>
        <v>0</v>
      </c>
      <c r="AL430" s="15">
        <f>IF(AN430=21,J430,0)</f>
        <v>0</v>
      </c>
      <c r="AN430" s="15">
        <v>21</v>
      </c>
      <c r="AO430" s="15">
        <f>G430*0</f>
        <v>0</v>
      </c>
      <c r="AP430" s="15">
        <f>G430*(1-0)</f>
        <v>0</v>
      </c>
      <c r="AQ430" s="1" t="s">
        <v>419</v>
      </c>
      <c r="AV430" s="15">
        <f>AW430+AX430</f>
        <v>0</v>
      </c>
      <c r="AW430" s="15">
        <f>F430*AO430</f>
        <v>0</v>
      </c>
      <c r="AX430" s="15">
        <f>F430*AP430</f>
        <v>0</v>
      </c>
      <c r="AY430" s="1" t="s">
        <v>431</v>
      </c>
      <c r="AZ430" s="1" t="s">
        <v>894</v>
      </c>
      <c r="BA430" s="52" t="s">
        <v>160</v>
      </c>
      <c r="BC430" s="15">
        <f>AW430+AX430</f>
        <v>0</v>
      </c>
      <c r="BD430" s="15">
        <f>G430/(100-BE430)*100</f>
        <v>0</v>
      </c>
      <c r="BE430" s="15">
        <v>0</v>
      </c>
      <c r="BF430" s="15">
        <f>430</f>
        <v>430</v>
      </c>
      <c r="BH430" s="15">
        <f>F430*AO430</f>
        <v>0</v>
      </c>
      <c r="BI430" s="15">
        <f>F430*AP430</f>
        <v>0</v>
      </c>
      <c r="BJ430" s="15">
        <f>F430*G430</f>
        <v>0</v>
      </c>
      <c r="BK430" s="15"/>
      <c r="BL430" s="15"/>
      <c r="BM430" s="15">
        <f>F430*G430</f>
        <v>0</v>
      </c>
      <c r="BW430" s="15">
        <v>21</v>
      </c>
    </row>
    <row r="431" spans="1:11" ht="27" customHeight="1">
      <c r="A431" s="53"/>
      <c r="C431" s="202" t="s">
        <v>667</v>
      </c>
      <c r="D431" s="211"/>
      <c r="E431" s="211"/>
      <c r="F431" s="211"/>
      <c r="G431" s="211"/>
      <c r="H431" s="211"/>
      <c r="I431" s="211"/>
      <c r="J431" s="211"/>
      <c r="K431" s="212"/>
    </row>
    <row r="432" spans="1:11" ht="15" customHeight="1">
      <c r="A432" s="53"/>
      <c r="C432" s="66" t="s">
        <v>829</v>
      </c>
      <c r="D432" s="18" t="s">
        <v>577</v>
      </c>
      <c r="F432" s="13">
        <v>1</v>
      </c>
      <c r="K432" s="32"/>
    </row>
    <row r="433" spans="1:75" ht="13.5" customHeight="1">
      <c r="A433" s="7" t="s">
        <v>420</v>
      </c>
      <c r="B433" s="11" t="s">
        <v>779</v>
      </c>
      <c r="C433" s="135" t="s">
        <v>554</v>
      </c>
      <c r="D433" s="130"/>
      <c r="E433" s="11" t="s">
        <v>567</v>
      </c>
      <c r="F433" s="15">
        <v>1</v>
      </c>
      <c r="G433" s="15">
        <v>0</v>
      </c>
      <c r="H433" s="15">
        <f>F433*AO433</f>
        <v>0</v>
      </c>
      <c r="I433" s="15">
        <f>F433*AP433</f>
        <v>0</v>
      </c>
      <c r="J433" s="15">
        <f>F433*G433</f>
        <v>0</v>
      </c>
      <c r="K433" s="12" t="s">
        <v>577</v>
      </c>
      <c r="Z433" s="15">
        <f>IF(AQ433="5",BJ433,0)</f>
        <v>0</v>
      </c>
      <c r="AB433" s="15">
        <f>IF(AQ433="1",BH433,0)</f>
        <v>0</v>
      </c>
      <c r="AC433" s="15">
        <f>IF(AQ433="1",BI433,0)</f>
        <v>0</v>
      </c>
      <c r="AD433" s="15">
        <f>IF(AQ433="7",BH433,0)</f>
        <v>0</v>
      </c>
      <c r="AE433" s="15">
        <f>IF(AQ433="7",BI433,0)</f>
        <v>0</v>
      </c>
      <c r="AF433" s="15">
        <f>IF(AQ433="2",BH433,0)</f>
        <v>0</v>
      </c>
      <c r="AG433" s="15">
        <f>IF(AQ433="2",BI433,0)</f>
        <v>0</v>
      </c>
      <c r="AH433" s="15">
        <f>IF(AQ433="0",BJ433,0)</f>
        <v>0</v>
      </c>
      <c r="AI433" s="52" t="s">
        <v>650</v>
      </c>
      <c r="AJ433" s="15">
        <f>IF(AN433=0,J433,0)</f>
        <v>0</v>
      </c>
      <c r="AK433" s="15">
        <f>IF(AN433=12,J433,0)</f>
        <v>0</v>
      </c>
      <c r="AL433" s="15">
        <f>IF(AN433=21,J433,0)</f>
        <v>0</v>
      </c>
      <c r="AN433" s="15">
        <v>21</v>
      </c>
      <c r="AO433" s="15">
        <f>G433*0</f>
        <v>0</v>
      </c>
      <c r="AP433" s="15">
        <f>G433*(1-0)</f>
        <v>0</v>
      </c>
      <c r="AQ433" s="1" t="s">
        <v>419</v>
      </c>
      <c r="AV433" s="15">
        <f>AW433+AX433</f>
        <v>0</v>
      </c>
      <c r="AW433" s="15">
        <f>F433*AO433</f>
        <v>0</v>
      </c>
      <c r="AX433" s="15">
        <f>F433*AP433</f>
        <v>0</v>
      </c>
      <c r="AY433" s="1" t="s">
        <v>431</v>
      </c>
      <c r="AZ433" s="1" t="s">
        <v>894</v>
      </c>
      <c r="BA433" s="52" t="s">
        <v>160</v>
      </c>
      <c r="BC433" s="15">
        <f>AW433+AX433</f>
        <v>0</v>
      </c>
      <c r="BD433" s="15">
        <f>G433/(100-BE433)*100</f>
        <v>0</v>
      </c>
      <c r="BE433" s="15">
        <v>0</v>
      </c>
      <c r="BF433" s="15">
        <f>433</f>
        <v>433</v>
      </c>
      <c r="BH433" s="15">
        <f>F433*AO433</f>
        <v>0</v>
      </c>
      <c r="BI433" s="15">
        <f>F433*AP433</f>
        <v>0</v>
      </c>
      <c r="BJ433" s="15">
        <f>F433*G433</f>
        <v>0</v>
      </c>
      <c r="BK433" s="15"/>
      <c r="BL433" s="15"/>
      <c r="BM433" s="15">
        <f>F433*G433</f>
        <v>0</v>
      </c>
      <c r="BW433" s="15">
        <v>21</v>
      </c>
    </row>
    <row r="434" spans="1:11" ht="15" customHeight="1">
      <c r="A434" s="53"/>
      <c r="C434" s="66" t="s">
        <v>829</v>
      </c>
      <c r="D434" s="18" t="s">
        <v>577</v>
      </c>
      <c r="F434" s="13">
        <v>1</v>
      </c>
      <c r="K434" s="32"/>
    </row>
    <row r="435" spans="1:75" ht="13.5" customHeight="1">
      <c r="A435" s="7" t="s">
        <v>474</v>
      </c>
      <c r="B435" s="11" t="s">
        <v>570</v>
      </c>
      <c r="C435" s="135" t="s">
        <v>293</v>
      </c>
      <c r="D435" s="130"/>
      <c r="E435" s="11" t="s">
        <v>567</v>
      </c>
      <c r="F435" s="15">
        <v>1</v>
      </c>
      <c r="G435" s="15">
        <v>0</v>
      </c>
      <c r="H435" s="15">
        <f>F435*AO435</f>
        <v>0</v>
      </c>
      <c r="I435" s="15">
        <f>F435*AP435</f>
        <v>0</v>
      </c>
      <c r="J435" s="15">
        <f>F435*G435</f>
        <v>0</v>
      </c>
      <c r="K435" s="12" t="s">
        <v>577</v>
      </c>
      <c r="Z435" s="15">
        <f>IF(AQ435="5",BJ435,0)</f>
        <v>0</v>
      </c>
      <c r="AB435" s="15">
        <f>IF(AQ435="1",BH435,0)</f>
        <v>0</v>
      </c>
      <c r="AC435" s="15">
        <f>IF(AQ435="1",BI435,0)</f>
        <v>0</v>
      </c>
      <c r="AD435" s="15">
        <f>IF(AQ435="7",BH435,0)</f>
        <v>0</v>
      </c>
      <c r="AE435" s="15">
        <f>IF(AQ435="7",BI435,0)</f>
        <v>0</v>
      </c>
      <c r="AF435" s="15">
        <f>IF(AQ435="2",BH435,0)</f>
        <v>0</v>
      </c>
      <c r="AG435" s="15">
        <f>IF(AQ435="2",BI435,0)</f>
        <v>0</v>
      </c>
      <c r="AH435" s="15">
        <f>IF(AQ435="0",BJ435,0)</f>
        <v>0</v>
      </c>
      <c r="AI435" s="52" t="s">
        <v>650</v>
      </c>
      <c r="AJ435" s="15">
        <f>IF(AN435=0,J435,0)</f>
        <v>0</v>
      </c>
      <c r="AK435" s="15">
        <f>IF(AN435=12,J435,0)</f>
        <v>0</v>
      </c>
      <c r="AL435" s="15">
        <f>IF(AN435=21,J435,0)</f>
        <v>0</v>
      </c>
      <c r="AN435" s="15">
        <v>21</v>
      </c>
      <c r="AO435" s="15">
        <f>G435*0</f>
        <v>0</v>
      </c>
      <c r="AP435" s="15">
        <f>G435*(1-0)</f>
        <v>0</v>
      </c>
      <c r="AQ435" s="1" t="s">
        <v>419</v>
      </c>
      <c r="AV435" s="15">
        <f>AW435+AX435</f>
        <v>0</v>
      </c>
      <c r="AW435" s="15">
        <f>F435*AO435</f>
        <v>0</v>
      </c>
      <c r="AX435" s="15">
        <f>F435*AP435</f>
        <v>0</v>
      </c>
      <c r="AY435" s="1" t="s">
        <v>431</v>
      </c>
      <c r="AZ435" s="1" t="s">
        <v>894</v>
      </c>
      <c r="BA435" s="52" t="s">
        <v>160</v>
      </c>
      <c r="BC435" s="15">
        <f>AW435+AX435</f>
        <v>0</v>
      </c>
      <c r="BD435" s="15">
        <f>G435/(100-BE435)*100</f>
        <v>0</v>
      </c>
      <c r="BE435" s="15">
        <v>0</v>
      </c>
      <c r="BF435" s="15">
        <f>435</f>
        <v>435</v>
      </c>
      <c r="BH435" s="15">
        <f>F435*AO435</f>
        <v>0</v>
      </c>
      <c r="BI435" s="15">
        <f>F435*AP435</f>
        <v>0</v>
      </c>
      <c r="BJ435" s="15">
        <f>F435*G435</f>
        <v>0</v>
      </c>
      <c r="BK435" s="15"/>
      <c r="BL435" s="15"/>
      <c r="BM435" s="15">
        <f>F435*G435</f>
        <v>0</v>
      </c>
      <c r="BW435" s="15">
        <v>21</v>
      </c>
    </row>
    <row r="436" spans="1:11" ht="15" customHeight="1">
      <c r="A436" s="53"/>
      <c r="C436" s="66" t="s">
        <v>829</v>
      </c>
      <c r="D436" s="18" t="s">
        <v>577</v>
      </c>
      <c r="F436" s="13">
        <v>1</v>
      </c>
      <c r="K436" s="32"/>
    </row>
    <row r="437" spans="1:75" ht="13.5" customHeight="1">
      <c r="A437" s="7" t="s">
        <v>755</v>
      </c>
      <c r="B437" s="11" t="s">
        <v>113</v>
      </c>
      <c r="C437" s="135" t="s">
        <v>242</v>
      </c>
      <c r="D437" s="130"/>
      <c r="E437" s="11" t="s">
        <v>567</v>
      </c>
      <c r="F437" s="15">
        <v>1</v>
      </c>
      <c r="G437" s="15">
        <v>0</v>
      </c>
      <c r="H437" s="15">
        <f>F437*AO437</f>
        <v>0</v>
      </c>
      <c r="I437" s="15">
        <f>F437*AP437</f>
        <v>0</v>
      </c>
      <c r="J437" s="15">
        <f>F437*G437</f>
        <v>0</v>
      </c>
      <c r="K437" s="12" t="s">
        <v>577</v>
      </c>
      <c r="Z437" s="15">
        <f>IF(AQ437="5",BJ437,0)</f>
        <v>0</v>
      </c>
      <c r="AB437" s="15">
        <f>IF(AQ437="1",BH437,0)</f>
        <v>0</v>
      </c>
      <c r="AC437" s="15">
        <f>IF(AQ437="1",BI437,0)</f>
        <v>0</v>
      </c>
      <c r="AD437" s="15">
        <f>IF(AQ437="7",BH437,0)</f>
        <v>0</v>
      </c>
      <c r="AE437" s="15">
        <f>IF(AQ437="7",BI437,0)</f>
        <v>0</v>
      </c>
      <c r="AF437" s="15">
        <f>IF(AQ437="2",BH437,0)</f>
        <v>0</v>
      </c>
      <c r="AG437" s="15">
        <f>IF(AQ437="2",BI437,0)</f>
        <v>0</v>
      </c>
      <c r="AH437" s="15">
        <f>IF(AQ437="0",BJ437,0)</f>
        <v>0</v>
      </c>
      <c r="AI437" s="52" t="s">
        <v>650</v>
      </c>
      <c r="AJ437" s="15">
        <f>IF(AN437=0,J437,0)</f>
        <v>0</v>
      </c>
      <c r="AK437" s="15">
        <f>IF(AN437=12,J437,0)</f>
        <v>0</v>
      </c>
      <c r="AL437" s="15">
        <f>IF(AN437=21,J437,0)</f>
        <v>0</v>
      </c>
      <c r="AN437" s="15">
        <v>21</v>
      </c>
      <c r="AO437" s="15">
        <f>G437*0</f>
        <v>0</v>
      </c>
      <c r="AP437" s="15">
        <f>G437*(1-0)</f>
        <v>0</v>
      </c>
      <c r="AQ437" s="1" t="s">
        <v>419</v>
      </c>
      <c r="AV437" s="15">
        <f>AW437+AX437</f>
        <v>0</v>
      </c>
      <c r="AW437" s="15">
        <f>F437*AO437</f>
        <v>0</v>
      </c>
      <c r="AX437" s="15">
        <f>F437*AP437</f>
        <v>0</v>
      </c>
      <c r="AY437" s="1" t="s">
        <v>431</v>
      </c>
      <c r="AZ437" s="1" t="s">
        <v>894</v>
      </c>
      <c r="BA437" s="52" t="s">
        <v>160</v>
      </c>
      <c r="BC437" s="15">
        <f>AW437+AX437</f>
        <v>0</v>
      </c>
      <c r="BD437" s="15">
        <f>G437/(100-BE437)*100</f>
        <v>0</v>
      </c>
      <c r="BE437" s="15">
        <v>0</v>
      </c>
      <c r="BF437" s="15">
        <f>437</f>
        <v>437</v>
      </c>
      <c r="BH437" s="15">
        <f>F437*AO437</f>
        <v>0</v>
      </c>
      <c r="BI437" s="15">
        <f>F437*AP437</f>
        <v>0</v>
      </c>
      <c r="BJ437" s="15">
        <f>F437*G437</f>
        <v>0</v>
      </c>
      <c r="BK437" s="15"/>
      <c r="BL437" s="15"/>
      <c r="BM437" s="15">
        <f>F437*G437</f>
        <v>0</v>
      </c>
      <c r="BW437" s="15">
        <v>21</v>
      </c>
    </row>
    <row r="438" spans="1:11" ht="13.5" customHeight="1">
      <c r="A438" s="53"/>
      <c r="C438" s="202" t="s">
        <v>443</v>
      </c>
      <c r="D438" s="211"/>
      <c r="E438" s="211"/>
      <c r="F438" s="211"/>
      <c r="G438" s="211"/>
      <c r="H438" s="211"/>
      <c r="I438" s="211"/>
      <c r="J438" s="211"/>
      <c r="K438" s="212"/>
    </row>
    <row r="439" spans="1:11" ht="15" customHeight="1">
      <c r="A439" s="53"/>
      <c r="C439" s="66" t="s">
        <v>829</v>
      </c>
      <c r="D439" s="18" t="s">
        <v>577</v>
      </c>
      <c r="F439" s="13">
        <v>1</v>
      </c>
      <c r="K439" s="32"/>
    </row>
    <row r="440" spans="1:47" ht="15" customHeight="1">
      <c r="A440" s="17" t="s">
        <v>577</v>
      </c>
      <c r="B440" s="20" t="s">
        <v>316</v>
      </c>
      <c r="C440" s="201" t="s">
        <v>721</v>
      </c>
      <c r="D440" s="210"/>
      <c r="E440" s="14" t="s">
        <v>774</v>
      </c>
      <c r="F440" s="14" t="s">
        <v>774</v>
      </c>
      <c r="G440" s="14" t="s">
        <v>774</v>
      </c>
      <c r="H440" s="68">
        <f>SUM(H441:H443)</f>
        <v>0</v>
      </c>
      <c r="I440" s="68">
        <f>SUM(I441:I443)</f>
        <v>0</v>
      </c>
      <c r="J440" s="68">
        <f>SUM(J441:J443)</f>
        <v>0</v>
      </c>
      <c r="K440" s="42" t="s">
        <v>577</v>
      </c>
      <c r="AI440" s="52" t="s">
        <v>650</v>
      </c>
      <c r="AS440" s="68">
        <f>SUM(AJ441:AJ443)</f>
        <v>0</v>
      </c>
      <c r="AT440" s="68">
        <f>SUM(AK441:AK443)</f>
        <v>0</v>
      </c>
      <c r="AU440" s="68">
        <f>SUM(AL441:AL443)</f>
        <v>0</v>
      </c>
    </row>
    <row r="441" spans="1:75" ht="13.5" customHeight="1">
      <c r="A441" s="7" t="s">
        <v>846</v>
      </c>
      <c r="B441" s="11" t="s">
        <v>748</v>
      </c>
      <c r="C441" s="135" t="s">
        <v>351</v>
      </c>
      <c r="D441" s="130"/>
      <c r="E441" s="11" t="s">
        <v>567</v>
      </c>
      <c r="F441" s="15">
        <v>1</v>
      </c>
      <c r="G441" s="15">
        <v>0</v>
      </c>
      <c r="H441" s="15">
        <f>F441*AO441</f>
        <v>0</v>
      </c>
      <c r="I441" s="15">
        <f>F441*AP441</f>
        <v>0</v>
      </c>
      <c r="J441" s="15">
        <f>F441*G441</f>
        <v>0</v>
      </c>
      <c r="K441" s="12" t="s">
        <v>577</v>
      </c>
      <c r="Z441" s="15">
        <f>IF(AQ441="5",BJ441,0)</f>
        <v>0</v>
      </c>
      <c r="AB441" s="15">
        <f>IF(AQ441="1",BH441,0)</f>
        <v>0</v>
      </c>
      <c r="AC441" s="15">
        <f>IF(AQ441="1",BI441,0)</f>
        <v>0</v>
      </c>
      <c r="AD441" s="15">
        <f>IF(AQ441="7",BH441,0)</f>
        <v>0</v>
      </c>
      <c r="AE441" s="15">
        <f>IF(AQ441="7",BI441,0)</f>
        <v>0</v>
      </c>
      <c r="AF441" s="15">
        <f>IF(AQ441="2",BH441,0)</f>
        <v>0</v>
      </c>
      <c r="AG441" s="15">
        <f>IF(AQ441="2",BI441,0)</f>
        <v>0</v>
      </c>
      <c r="AH441" s="15">
        <f>IF(AQ441="0",BJ441,0)</f>
        <v>0</v>
      </c>
      <c r="AI441" s="52" t="s">
        <v>650</v>
      </c>
      <c r="AJ441" s="15">
        <f>IF(AN441=0,J441,0)</f>
        <v>0</v>
      </c>
      <c r="AK441" s="15">
        <f>IF(AN441=12,J441,0)</f>
        <v>0</v>
      </c>
      <c r="AL441" s="15">
        <f>IF(AN441=21,J441,0)</f>
        <v>0</v>
      </c>
      <c r="AN441" s="15">
        <v>21</v>
      </c>
      <c r="AO441" s="15">
        <f>G441*0</f>
        <v>0</v>
      </c>
      <c r="AP441" s="15">
        <f>G441*(1-0)</f>
        <v>0</v>
      </c>
      <c r="AQ441" s="1" t="s">
        <v>419</v>
      </c>
      <c r="AV441" s="15">
        <f>AW441+AX441</f>
        <v>0</v>
      </c>
      <c r="AW441" s="15">
        <f>F441*AO441</f>
        <v>0</v>
      </c>
      <c r="AX441" s="15">
        <f>F441*AP441</f>
        <v>0</v>
      </c>
      <c r="AY441" s="1" t="s">
        <v>149</v>
      </c>
      <c r="AZ441" s="1" t="s">
        <v>894</v>
      </c>
      <c r="BA441" s="52" t="s">
        <v>160</v>
      </c>
      <c r="BC441" s="15">
        <f>AW441+AX441</f>
        <v>0</v>
      </c>
      <c r="BD441" s="15">
        <f>G441/(100-BE441)*100</f>
        <v>0</v>
      </c>
      <c r="BE441" s="15">
        <v>0</v>
      </c>
      <c r="BF441" s="15">
        <f>441</f>
        <v>441</v>
      </c>
      <c r="BH441" s="15">
        <f>F441*AO441</f>
        <v>0</v>
      </c>
      <c r="BI441" s="15">
        <f>F441*AP441</f>
        <v>0</v>
      </c>
      <c r="BJ441" s="15">
        <f>F441*G441</f>
        <v>0</v>
      </c>
      <c r="BK441" s="15"/>
      <c r="BL441" s="15"/>
      <c r="BN441" s="15">
        <f>F441*G441</f>
        <v>0</v>
      </c>
      <c r="BW441" s="15">
        <v>21</v>
      </c>
    </row>
    <row r="442" spans="1:11" ht="15" customHeight="1">
      <c r="A442" s="53"/>
      <c r="C442" s="66" t="s">
        <v>829</v>
      </c>
      <c r="D442" s="18" t="s">
        <v>577</v>
      </c>
      <c r="F442" s="13">
        <v>1</v>
      </c>
      <c r="K442" s="32"/>
    </row>
    <row r="443" spans="1:75" ht="13.5" customHeight="1">
      <c r="A443" s="7" t="s">
        <v>2</v>
      </c>
      <c r="B443" s="11" t="s">
        <v>401</v>
      </c>
      <c r="C443" s="135" t="s">
        <v>212</v>
      </c>
      <c r="D443" s="130"/>
      <c r="E443" s="11" t="s">
        <v>567</v>
      </c>
      <c r="F443" s="15">
        <v>1</v>
      </c>
      <c r="G443" s="15">
        <v>0</v>
      </c>
      <c r="H443" s="15">
        <f>F443*AO443</f>
        <v>0</v>
      </c>
      <c r="I443" s="15">
        <f>F443*AP443</f>
        <v>0</v>
      </c>
      <c r="J443" s="15">
        <f>F443*G443</f>
        <v>0</v>
      </c>
      <c r="K443" s="12" t="s">
        <v>577</v>
      </c>
      <c r="Z443" s="15">
        <f>IF(AQ443="5",BJ443,0)</f>
        <v>0</v>
      </c>
      <c r="AB443" s="15">
        <f>IF(AQ443="1",BH443,0)</f>
        <v>0</v>
      </c>
      <c r="AC443" s="15">
        <f>IF(AQ443="1",BI443,0)</f>
        <v>0</v>
      </c>
      <c r="AD443" s="15">
        <f>IF(AQ443="7",BH443,0)</f>
        <v>0</v>
      </c>
      <c r="AE443" s="15">
        <f>IF(AQ443="7",BI443,0)</f>
        <v>0</v>
      </c>
      <c r="AF443" s="15">
        <f>IF(AQ443="2",BH443,0)</f>
        <v>0</v>
      </c>
      <c r="AG443" s="15">
        <f>IF(AQ443="2",BI443,0)</f>
        <v>0</v>
      </c>
      <c r="AH443" s="15">
        <f>IF(AQ443="0",BJ443,0)</f>
        <v>0</v>
      </c>
      <c r="AI443" s="52" t="s">
        <v>650</v>
      </c>
      <c r="AJ443" s="15">
        <f>IF(AN443=0,J443,0)</f>
        <v>0</v>
      </c>
      <c r="AK443" s="15">
        <f>IF(AN443=12,J443,0)</f>
        <v>0</v>
      </c>
      <c r="AL443" s="15">
        <f>IF(AN443=21,J443,0)</f>
        <v>0</v>
      </c>
      <c r="AN443" s="15">
        <v>21</v>
      </c>
      <c r="AO443" s="15">
        <f>G443*0</f>
        <v>0</v>
      </c>
      <c r="AP443" s="15">
        <f>G443*(1-0)</f>
        <v>0</v>
      </c>
      <c r="AQ443" s="1" t="s">
        <v>419</v>
      </c>
      <c r="AV443" s="15">
        <f>AW443+AX443</f>
        <v>0</v>
      </c>
      <c r="AW443" s="15">
        <f>F443*AO443</f>
        <v>0</v>
      </c>
      <c r="AX443" s="15">
        <f>F443*AP443</f>
        <v>0</v>
      </c>
      <c r="AY443" s="1" t="s">
        <v>149</v>
      </c>
      <c r="AZ443" s="1" t="s">
        <v>894</v>
      </c>
      <c r="BA443" s="52" t="s">
        <v>160</v>
      </c>
      <c r="BC443" s="15">
        <f>AW443+AX443</f>
        <v>0</v>
      </c>
      <c r="BD443" s="15">
        <f>G443/(100-BE443)*100</f>
        <v>0</v>
      </c>
      <c r="BE443" s="15">
        <v>0</v>
      </c>
      <c r="BF443" s="15">
        <f>443</f>
        <v>443</v>
      </c>
      <c r="BH443" s="15">
        <f>F443*AO443</f>
        <v>0</v>
      </c>
      <c r="BI443" s="15">
        <f>F443*AP443</f>
        <v>0</v>
      </c>
      <c r="BJ443" s="15">
        <f>F443*G443</f>
        <v>0</v>
      </c>
      <c r="BK443" s="15"/>
      <c r="BL443" s="15"/>
      <c r="BN443" s="15">
        <f>F443*G443</f>
        <v>0</v>
      </c>
      <c r="BW443" s="15">
        <v>21</v>
      </c>
    </row>
    <row r="444" spans="1:11" ht="15" customHeight="1">
      <c r="A444" s="53"/>
      <c r="C444" s="66" t="s">
        <v>829</v>
      </c>
      <c r="D444" s="18" t="s">
        <v>577</v>
      </c>
      <c r="F444" s="13">
        <v>1</v>
      </c>
      <c r="K444" s="32"/>
    </row>
    <row r="445" spans="1:47" ht="15" customHeight="1">
      <c r="A445" s="17" t="s">
        <v>577</v>
      </c>
      <c r="B445" s="20" t="s">
        <v>52</v>
      </c>
      <c r="C445" s="201" t="s">
        <v>98</v>
      </c>
      <c r="D445" s="210"/>
      <c r="E445" s="14" t="s">
        <v>774</v>
      </c>
      <c r="F445" s="14" t="s">
        <v>774</v>
      </c>
      <c r="G445" s="14" t="s">
        <v>774</v>
      </c>
      <c r="H445" s="68">
        <f>SUM(H446:H467)</f>
        <v>0</v>
      </c>
      <c r="I445" s="68">
        <f>SUM(I446:I467)</f>
        <v>0</v>
      </c>
      <c r="J445" s="68">
        <f>SUM(J446:J467)</f>
        <v>0</v>
      </c>
      <c r="K445" s="42" t="s">
        <v>577</v>
      </c>
      <c r="AI445" s="52" t="s">
        <v>650</v>
      </c>
      <c r="AS445" s="68">
        <f>SUM(AJ446:AJ467)</f>
        <v>0</v>
      </c>
      <c r="AT445" s="68">
        <f>SUM(AK446:AK467)</f>
        <v>0</v>
      </c>
      <c r="AU445" s="68">
        <f>SUM(AL446:AL467)</f>
        <v>0</v>
      </c>
    </row>
    <row r="446" spans="1:75" ht="13.5" customHeight="1">
      <c r="A446" s="7" t="s">
        <v>40</v>
      </c>
      <c r="B446" s="11" t="s">
        <v>556</v>
      </c>
      <c r="C446" s="135" t="s">
        <v>98</v>
      </c>
      <c r="D446" s="130"/>
      <c r="E446" s="11" t="s">
        <v>567</v>
      </c>
      <c r="F446" s="15">
        <v>1</v>
      </c>
      <c r="G446" s="15">
        <v>0</v>
      </c>
      <c r="H446" s="15">
        <f>F446*AO446</f>
        <v>0</v>
      </c>
      <c r="I446" s="15">
        <f>F446*AP446</f>
        <v>0</v>
      </c>
      <c r="J446" s="15">
        <f>F446*G446</f>
        <v>0</v>
      </c>
      <c r="K446" s="12" t="s">
        <v>577</v>
      </c>
      <c r="Z446" s="15">
        <f>IF(AQ446="5",BJ446,0)</f>
        <v>0</v>
      </c>
      <c r="AB446" s="15">
        <f>IF(AQ446="1",BH446,0)</f>
        <v>0</v>
      </c>
      <c r="AC446" s="15">
        <f>IF(AQ446="1",BI446,0)</f>
        <v>0</v>
      </c>
      <c r="AD446" s="15">
        <f>IF(AQ446="7",BH446,0)</f>
        <v>0</v>
      </c>
      <c r="AE446" s="15">
        <f>IF(AQ446="7",BI446,0)</f>
        <v>0</v>
      </c>
      <c r="AF446" s="15">
        <f>IF(AQ446="2",BH446,0)</f>
        <v>0</v>
      </c>
      <c r="AG446" s="15">
        <f>IF(AQ446="2",BI446,0)</f>
        <v>0</v>
      </c>
      <c r="AH446" s="15">
        <f>IF(AQ446="0",BJ446,0)</f>
        <v>0</v>
      </c>
      <c r="AI446" s="52" t="s">
        <v>650</v>
      </c>
      <c r="AJ446" s="15">
        <f>IF(AN446=0,J446,0)</f>
        <v>0</v>
      </c>
      <c r="AK446" s="15">
        <f>IF(AN446=12,J446,0)</f>
        <v>0</v>
      </c>
      <c r="AL446" s="15">
        <f>IF(AN446=21,J446,0)</f>
        <v>0</v>
      </c>
      <c r="AN446" s="15">
        <v>21</v>
      </c>
      <c r="AO446" s="15">
        <f>G446*0</f>
        <v>0</v>
      </c>
      <c r="AP446" s="15">
        <f>G446*(1-0)</f>
        <v>0</v>
      </c>
      <c r="AQ446" s="1" t="s">
        <v>419</v>
      </c>
      <c r="AV446" s="15">
        <f>AW446+AX446</f>
        <v>0</v>
      </c>
      <c r="AW446" s="15">
        <f>F446*AO446</f>
        <v>0</v>
      </c>
      <c r="AX446" s="15">
        <f>F446*AP446</f>
        <v>0</v>
      </c>
      <c r="AY446" s="1" t="s">
        <v>211</v>
      </c>
      <c r="AZ446" s="1" t="s">
        <v>894</v>
      </c>
      <c r="BA446" s="52" t="s">
        <v>160</v>
      </c>
      <c r="BC446" s="15">
        <f>AW446+AX446</f>
        <v>0</v>
      </c>
      <c r="BD446" s="15">
        <f>G446/(100-BE446)*100</f>
        <v>0</v>
      </c>
      <c r="BE446" s="15">
        <v>0</v>
      </c>
      <c r="BF446" s="15">
        <f>446</f>
        <v>446</v>
      </c>
      <c r="BH446" s="15">
        <f>F446*AO446</f>
        <v>0</v>
      </c>
      <c r="BI446" s="15">
        <f>F446*AP446</f>
        <v>0</v>
      </c>
      <c r="BJ446" s="15">
        <f>F446*G446</f>
        <v>0</v>
      </c>
      <c r="BK446" s="15"/>
      <c r="BL446" s="15"/>
      <c r="BO446" s="15">
        <f>F446*G446</f>
        <v>0</v>
      </c>
      <c r="BW446" s="15">
        <v>21</v>
      </c>
    </row>
    <row r="447" spans="1:11" ht="27" customHeight="1">
      <c r="A447" s="53"/>
      <c r="C447" s="202" t="s">
        <v>588</v>
      </c>
      <c r="D447" s="211"/>
      <c r="E447" s="211"/>
      <c r="F447" s="211"/>
      <c r="G447" s="211"/>
      <c r="H447" s="211"/>
      <c r="I447" s="211"/>
      <c r="J447" s="211"/>
      <c r="K447" s="212"/>
    </row>
    <row r="448" spans="1:11" ht="15" customHeight="1">
      <c r="A448" s="53"/>
      <c r="C448" s="66" t="s">
        <v>810</v>
      </c>
      <c r="D448" s="18" t="s">
        <v>577</v>
      </c>
      <c r="F448" s="13">
        <v>0</v>
      </c>
      <c r="K448" s="32"/>
    </row>
    <row r="449" spans="1:11" ht="15" customHeight="1">
      <c r="A449" s="53"/>
      <c r="C449" s="66" t="s">
        <v>829</v>
      </c>
      <c r="D449" s="18" t="s">
        <v>577</v>
      </c>
      <c r="F449" s="13">
        <v>1</v>
      </c>
      <c r="K449" s="32"/>
    </row>
    <row r="450" spans="1:11" ht="15" customHeight="1">
      <c r="A450" s="53"/>
      <c r="C450" s="66" t="s">
        <v>930</v>
      </c>
      <c r="D450" s="18" t="s">
        <v>577</v>
      </c>
      <c r="F450" s="13">
        <v>0</v>
      </c>
      <c r="K450" s="32"/>
    </row>
    <row r="451" spans="1:11" ht="15" customHeight="1">
      <c r="A451" s="53"/>
      <c r="C451" s="66" t="s">
        <v>642</v>
      </c>
      <c r="D451" s="18" t="s">
        <v>577</v>
      </c>
      <c r="F451" s="13">
        <v>0</v>
      </c>
      <c r="K451" s="32"/>
    </row>
    <row r="452" spans="1:11" ht="15" customHeight="1">
      <c r="A452" s="53"/>
      <c r="C452" s="66" t="s">
        <v>471</v>
      </c>
      <c r="D452" s="18" t="s">
        <v>577</v>
      </c>
      <c r="F452" s="13">
        <v>0</v>
      </c>
      <c r="K452" s="32"/>
    </row>
    <row r="453" spans="1:11" ht="15" customHeight="1">
      <c r="A453" s="53"/>
      <c r="C453" s="66" t="s">
        <v>783</v>
      </c>
      <c r="D453" s="18" t="s">
        <v>577</v>
      </c>
      <c r="F453" s="13">
        <v>0</v>
      </c>
      <c r="K453" s="32"/>
    </row>
    <row r="454" spans="1:11" ht="15" customHeight="1">
      <c r="A454" s="53"/>
      <c r="C454" s="66" t="s">
        <v>611</v>
      </c>
      <c r="D454" s="18" t="s">
        <v>577</v>
      </c>
      <c r="F454" s="13">
        <v>0</v>
      </c>
      <c r="K454" s="32"/>
    </row>
    <row r="455" spans="1:11" ht="15" customHeight="1">
      <c r="A455" s="53"/>
      <c r="C455" s="66" t="s">
        <v>747</v>
      </c>
      <c r="D455" s="18" t="s">
        <v>577</v>
      </c>
      <c r="F455" s="13">
        <v>0</v>
      </c>
      <c r="K455" s="32"/>
    </row>
    <row r="456" spans="1:11" ht="15" customHeight="1">
      <c r="A456" s="53"/>
      <c r="C456" s="66" t="s">
        <v>230</v>
      </c>
      <c r="D456" s="18" t="s">
        <v>577</v>
      </c>
      <c r="F456" s="13">
        <v>0</v>
      </c>
      <c r="K456" s="32"/>
    </row>
    <row r="457" spans="1:11" ht="15" customHeight="1">
      <c r="A457" s="53"/>
      <c r="C457" s="66" t="s">
        <v>425</v>
      </c>
      <c r="D457" s="18" t="s">
        <v>577</v>
      </c>
      <c r="F457" s="13">
        <v>0</v>
      </c>
      <c r="K457" s="32"/>
    </row>
    <row r="458" spans="1:75" ht="13.5" customHeight="1">
      <c r="A458" s="7" t="s">
        <v>57</v>
      </c>
      <c r="B458" s="11" t="s">
        <v>939</v>
      </c>
      <c r="C458" s="135" t="s">
        <v>551</v>
      </c>
      <c r="D458" s="130"/>
      <c r="E458" s="11" t="s">
        <v>567</v>
      </c>
      <c r="F458" s="15">
        <v>1</v>
      </c>
      <c r="G458" s="15">
        <v>0</v>
      </c>
      <c r="H458" s="15">
        <f>F458*AO458</f>
        <v>0</v>
      </c>
      <c r="I458" s="15">
        <f>F458*AP458</f>
        <v>0</v>
      </c>
      <c r="J458" s="15">
        <f>F458*G458</f>
        <v>0</v>
      </c>
      <c r="K458" s="12" t="s">
        <v>577</v>
      </c>
      <c r="Z458" s="15">
        <f>IF(AQ458="5",BJ458,0)</f>
        <v>0</v>
      </c>
      <c r="AB458" s="15">
        <f>IF(AQ458="1",BH458,0)</f>
        <v>0</v>
      </c>
      <c r="AC458" s="15">
        <f>IF(AQ458="1",BI458,0)</f>
        <v>0</v>
      </c>
      <c r="AD458" s="15">
        <f>IF(AQ458="7",BH458,0)</f>
        <v>0</v>
      </c>
      <c r="AE458" s="15">
        <f>IF(AQ458="7",BI458,0)</f>
        <v>0</v>
      </c>
      <c r="AF458" s="15">
        <f>IF(AQ458="2",BH458,0)</f>
        <v>0</v>
      </c>
      <c r="AG458" s="15">
        <f>IF(AQ458="2",BI458,0)</f>
        <v>0</v>
      </c>
      <c r="AH458" s="15">
        <f>IF(AQ458="0",BJ458,0)</f>
        <v>0</v>
      </c>
      <c r="AI458" s="52" t="s">
        <v>650</v>
      </c>
      <c r="AJ458" s="15">
        <f>IF(AN458=0,J458,0)</f>
        <v>0</v>
      </c>
      <c r="AK458" s="15">
        <f>IF(AN458=12,J458,0)</f>
        <v>0</v>
      </c>
      <c r="AL458" s="15">
        <f>IF(AN458=21,J458,0)</f>
        <v>0</v>
      </c>
      <c r="AN458" s="15">
        <v>21</v>
      </c>
      <c r="AO458" s="15">
        <f>G458*0</f>
        <v>0</v>
      </c>
      <c r="AP458" s="15">
        <f>G458*(1-0)</f>
        <v>0</v>
      </c>
      <c r="AQ458" s="1" t="s">
        <v>419</v>
      </c>
      <c r="AV458" s="15">
        <f>AW458+AX458</f>
        <v>0</v>
      </c>
      <c r="AW458" s="15">
        <f>F458*AO458</f>
        <v>0</v>
      </c>
      <c r="AX458" s="15">
        <f>F458*AP458</f>
        <v>0</v>
      </c>
      <c r="AY458" s="1" t="s">
        <v>211</v>
      </c>
      <c r="AZ458" s="1" t="s">
        <v>894</v>
      </c>
      <c r="BA458" s="52" t="s">
        <v>160</v>
      </c>
      <c r="BC458" s="15">
        <f>AW458+AX458</f>
        <v>0</v>
      </c>
      <c r="BD458" s="15">
        <f>G458/(100-BE458)*100</f>
        <v>0</v>
      </c>
      <c r="BE458" s="15">
        <v>0</v>
      </c>
      <c r="BF458" s="15">
        <f>458</f>
        <v>458</v>
      </c>
      <c r="BH458" s="15">
        <f>F458*AO458</f>
        <v>0</v>
      </c>
      <c r="BI458" s="15">
        <f>F458*AP458</f>
        <v>0</v>
      </c>
      <c r="BJ458" s="15">
        <f>F458*G458</f>
        <v>0</v>
      </c>
      <c r="BK458" s="15"/>
      <c r="BL458" s="15"/>
      <c r="BO458" s="15">
        <f>F458*G458</f>
        <v>0</v>
      </c>
      <c r="BW458" s="15">
        <v>21</v>
      </c>
    </row>
    <row r="459" spans="1:11" ht="13.5" customHeight="1">
      <c r="A459" s="53"/>
      <c r="C459" s="202" t="s">
        <v>389</v>
      </c>
      <c r="D459" s="211"/>
      <c r="E459" s="211"/>
      <c r="F459" s="211"/>
      <c r="G459" s="211"/>
      <c r="H459" s="211"/>
      <c r="I459" s="211"/>
      <c r="J459" s="211"/>
      <c r="K459" s="212"/>
    </row>
    <row r="460" spans="1:11" ht="15" customHeight="1">
      <c r="A460" s="53"/>
      <c r="C460" s="66" t="s">
        <v>829</v>
      </c>
      <c r="D460" s="18" t="s">
        <v>577</v>
      </c>
      <c r="F460" s="13">
        <v>1</v>
      </c>
      <c r="K460" s="32"/>
    </row>
    <row r="461" spans="1:75" ht="13.5" customHeight="1">
      <c r="A461" s="7" t="s">
        <v>622</v>
      </c>
      <c r="B461" s="11" t="s">
        <v>895</v>
      </c>
      <c r="C461" s="135" t="s">
        <v>17</v>
      </c>
      <c r="D461" s="130"/>
      <c r="E461" s="11" t="s">
        <v>567</v>
      </c>
      <c r="F461" s="15">
        <v>1</v>
      </c>
      <c r="G461" s="15">
        <v>0</v>
      </c>
      <c r="H461" s="15">
        <f>F461*AO461</f>
        <v>0</v>
      </c>
      <c r="I461" s="15">
        <f>F461*AP461</f>
        <v>0</v>
      </c>
      <c r="J461" s="15">
        <f>F461*G461</f>
        <v>0</v>
      </c>
      <c r="K461" s="12" t="s">
        <v>577</v>
      </c>
      <c r="Z461" s="15">
        <f>IF(AQ461="5",BJ461,0)</f>
        <v>0</v>
      </c>
      <c r="AB461" s="15">
        <f>IF(AQ461="1",BH461,0)</f>
        <v>0</v>
      </c>
      <c r="AC461" s="15">
        <f>IF(AQ461="1",BI461,0)</f>
        <v>0</v>
      </c>
      <c r="AD461" s="15">
        <f>IF(AQ461="7",BH461,0)</f>
        <v>0</v>
      </c>
      <c r="AE461" s="15">
        <f>IF(AQ461="7",BI461,0)</f>
        <v>0</v>
      </c>
      <c r="AF461" s="15">
        <f>IF(AQ461="2",BH461,0)</f>
        <v>0</v>
      </c>
      <c r="AG461" s="15">
        <f>IF(AQ461="2",BI461,0)</f>
        <v>0</v>
      </c>
      <c r="AH461" s="15">
        <f>IF(AQ461="0",BJ461,0)</f>
        <v>0</v>
      </c>
      <c r="AI461" s="52" t="s">
        <v>650</v>
      </c>
      <c r="AJ461" s="15">
        <f>IF(AN461=0,J461,0)</f>
        <v>0</v>
      </c>
      <c r="AK461" s="15">
        <f>IF(AN461=12,J461,0)</f>
        <v>0</v>
      </c>
      <c r="AL461" s="15">
        <f>IF(AN461=21,J461,0)</f>
        <v>0</v>
      </c>
      <c r="AN461" s="15">
        <v>21</v>
      </c>
      <c r="AO461" s="15">
        <f>G461*0</f>
        <v>0</v>
      </c>
      <c r="AP461" s="15">
        <f>G461*(1-0)</f>
        <v>0</v>
      </c>
      <c r="AQ461" s="1" t="s">
        <v>419</v>
      </c>
      <c r="AV461" s="15">
        <f>AW461+AX461</f>
        <v>0</v>
      </c>
      <c r="AW461" s="15">
        <f>F461*AO461</f>
        <v>0</v>
      </c>
      <c r="AX461" s="15">
        <f>F461*AP461</f>
        <v>0</v>
      </c>
      <c r="AY461" s="1" t="s">
        <v>211</v>
      </c>
      <c r="AZ461" s="1" t="s">
        <v>894</v>
      </c>
      <c r="BA461" s="52" t="s">
        <v>160</v>
      </c>
      <c r="BC461" s="15">
        <f>AW461+AX461</f>
        <v>0</v>
      </c>
      <c r="BD461" s="15">
        <f>G461/(100-BE461)*100</f>
        <v>0</v>
      </c>
      <c r="BE461" s="15">
        <v>0</v>
      </c>
      <c r="BF461" s="15">
        <f>461</f>
        <v>461</v>
      </c>
      <c r="BH461" s="15">
        <f>F461*AO461</f>
        <v>0</v>
      </c>
      <c r="BI461" s="15">
        <f>F461*AP461</f>
        <v>0</v>
      </c>
      <c r="BJ461" s="15">
        <f>F461*G461</f>
        <v>0</v>
      </c>
      <c r="BK461" s="15"/>
      <c r="BL461" s="15"/>
      <c r="BO461" s="15">
        <f>F461*G461</f>
        <v>0</v>
      </c>
      <c r="BW461" s="15">
        <v>21</v>
      </c>
    </row>
    <row r="462" spans="1:11" ht="13.5" customHeight="1">
      <c r="A462" s="53"/>
      <c r="C462" s="202" t="s">
        <v>763</v>
      </c>
      <c r="D462" s="211"/>
      <c r="E462" s="211"/>
      <c r="F462" s="211"/>
      <c r="G462" s="211"/>
      <c r="H462" s="211"/>
      <c r="I462" s="211"/>
      <c r="J462" s="211"/>
      <c r="K462" s="212"/>
    </row>
    <row r="463" spans="1:11" ht="15" customHeight="1">
      <c r="A463" s="53"/>
      <c r="C463" s="66" t="s">
        <v>829</v>
      </c>
      <c r="D463" s="18" t="s">
        <v>577</v>
      </c>
      <c r="F463" s="13">
        <v>1</v>
      </c>
      <c r="K463" s="32"/>
    </row>
    <row r="464" spans="1:75" ht="13.5" customHeight="1">
      <c r="A464" s="7" t="s">
        <v>919</v>
      </c>
      <c r="B464" s="11" t="s">
        <v>386</v>
      </c>
      <c r="C464" s="135" t="s">
        <v>33</v>
      </c>
      <c r="D464" s="130"/>
      <c r="E464" s="11" t="s">
        <v>567</v>
      </c>
      <c r="F464" s="15">
        <v>1</v>
      </c>
      <c r="G464" s="15">
        <v>0</v>
      </c>
      <c r="H464" s="15">
        <f>F464*AO464</f>
        <v>0</v>
      </c>
      <c r="I464" s="15">
        <f>F464*AP464</f>
        <v>0</v>
      </c>
      <c r="J464" s="15">
        <f>F464*G464</f>
        <v>0</v>
      </c>
      <c r="K464" s="12" t="s">
        <v>577</v>
      </c>
      <c r="Z464" s="15">
        <f>IF(AQ464="5",BJ464,0)</f>
        <v>0</v>
      </c>
      <c r="AB464" s="15">
        <f>IF(AQ464="1",BH464,0)</f>
        <v>0</v>
      </c>
      <c r="AC464" s="15">
        <f>IF(AQ464="1",BI464,0)</f>
        <v>0</v>
      </c>
      <c r="AD464" s="15">
        <f>IF(AQ464="7",BH464,0)</f>
        <v>0</v>
      </c>
      <c r="AE464" s="15">
        <f>IF(AQ464="7",BI464,0)</f>
        <v>0</v>
      </c>
      <c r="AF464" s="15">
        <f>IF(AQ464="2",BH464,0)</f>
        <v>0</v>
      </c>
      <c r="AG464" s="15">
        <f>IF(AQ464="2",BI464,0)</f>
        <v>0</v>
      </c>
      <c r="AH464" s="15">
        <f>IF(AQ464="0",BJ464,0)</f>
        <v>0</v>
      </c>
      <c r="AI464" s="52" t="s">
        <v>650</v>
      </c>
      <c r="AJ464" s="15">
        <f>IF(AN464=0,J464,0)</f>
        <v>0</v>
      </c>
      <c r="AK464" s="15">
        <f>IF(AN464=12,J464,0)</f>
        <v>0</v>
      </c>
      <c r="AL464" s="15">
        <f>IF(AN464=21,J464,0)</f>
        <v>0</v>
      </c>
      <c r="AN464" s="15">
        <v>21</v>
      </c>
      <c r="AO464" s="15">
        <f>G464*0</f>
        <v>0</v>
      </c>
      <c r="AP464" s="15">
        <f>G464*(1-0)</f>
        <v>0</v>
      </c>
      <c r="AQ464" s="1" t="s">
        <v>419</v>
      </c>
      <c r="AV464" s="15">
        <f>AW464+AX464</f>
        <v>0</v>
      </c>
      <c r="AW464" s="15">
        <f>F464*AO464</f>
        <v>0</v>
      </c>
      <c r="AX464" s="15">
        <f>F464*AP464</f>
        <v>0</v>
      </c>
      <c r="AY464" s="1" t="s">
        <v>211</v>
      </c>
      <c r="AZ464" s="1" t="s">
        <v>894</v>
      </c>
      <c r="BA464" s="52" t="s">
        <v>160</v>
      </c>
      <c r="BC464" s="15">
        <f>AW464+AX464</f>
        <v>0</v>
      </c>
      <c r="BD464" s="15">
        <f>G464/(100-BE464)*100</f>
        <v>0</v>
      </c>
      <c r="BE464" s="15">
        <v>0</v>
      </c>
      <c r="BF464" s="15">
        <f>464</f>
        <v>464</v>
      </c>
      <c r="BH464" s="15">
        <f>F464*AO464</f>
        <v>0</v>
      </c>
      <c r="BI464" s="15">
        <f>F464*AP464</f>
        <v>0</v>
      </c>
      <c r="BJ464" s="15">
        <f>F464*G464</f>
        <v>0</v>
      </c>
      <c r="BK464" s="15"/>
      <c r="BL464" s="15"/>
      <c r="BO464" s="15">
        <f>F464*G464</f>
        <v>0</v>
      </c>
      <c r="BW464" s="15">
        <v>21</v>
      </c>
    </row>
    <row r="465" spans="1:11" ht="13.5" customHeight="1">
      <c r="A465" s="53"/>
      <c r="C465" s="202" t="s">
        <v>796</v>
      </c>
      <c r="D465" s="211"/>
      <c r="E465" s="211"/>
      <c r="F465" s="211"/>
      <c r="G465" s="211"/>
      <c r="H465" s="211"/>
      <c r="I465" s="211"/>
      <c r="J465" s="211"/>
      <c r="K465" s="212"/>
    </row>
    <row r="466" spans="1:11" ht="15" customHeight="1">
      <c r="A466" s="53"/>
      <c r="C466" s="66" t="s">
        <v>829</v>
      </c>
      <c r="D466" s="18" t="s">
        <v>577</v>
      </c>
      <c r="F466" s="13">
        <v>1</v>
      </c>
      <c r="K466" s="32"/>
    </row>
    <row r="467" spans="1:75" ht="13.5" customHeight="1">
      <c r="A467" s="7" t="s">
        <v>261</v>
      </c>
      <c r="B467" s="11" t="s">
        <v>853</v>
      </c>
      <c r="C467" s="135" t="s">
        <v>523</v>
      </c>
      <c r="D467" s="130"/>
      <c r="E467" s="11" t="s">
        <v>567</v>
      </c>
      <c r="F467" s="15">
        <v>1</v>
      </c>
      <c r="G467" s="15">
        <v>0</v>
      </c>
      <c r="H467" s="15">
        <f>F467*AO467</f>
        <v>0</v>
      </c>
      <c r="I467" s="15">
        <f>F467*AP467</f>
        <v>0</v>
      </c>
      <c r="J467" s="15">
        <f>F467*G467</f>
        <v>0</v>
      </c>
      <c r="K467" s="12" t="s">
        <v>577</v>
      </c>
      <c r="Z467" s="15">
        <f>IF(AQ467="5",BJ467,0)</f>
        <v>0</v>
      </c>
      <c r="AB467" s="15">
        <f>IF(AQ467="1",BH467,0)</f>
        <v>0</v>
      </c>
      <c r="AC467" s="15">
        <f>IF(AQ467="1",BI467,0)</f>
        <v>0</v>
      </c>
      <c r="AD467" s="15">
        <f>IF(AQ467="7",BH467,0)</f>
        <v>0</v>
      </c>
      <c r="AE467" s="15">
        <f>IF(AQ467="7",BI467,0)</f>
        <v>0</v>
      </c>
      <c r="AF467" s="15">
        <f>IF(AQ467="2",BH467,0)</f>
        <v>0</v>
      </c>
      <c r="AG467" s="15">
        <f>IF(AQ467="2",BI467,0)</f>
        <v>0</v>
      </c>
      <c r="AH467" s="15">
        <f>IF(AQ467="0",BJ467,0)</f>
        <v>0</v>
      </c>
      <c r="AI467" s="52" t="s">
        <v>650</v>
      </c>
      <c r="AJ467" s="15">
        <f>IF(AN467=0,J467,0)</f>
        <v>0</v>
      </c>
      <c r="AK467" s="15">
        <f>IF(AN467=12,J467,0)</f>
        <v>0</v>
      </c>
      <c r="AL467" s="15">
        <f>IF(AN467=21,J467,0)</f>
        <v>0</v>
      </c>
      <c r="AN467" s="15">
        <v>21</v>
      </c>
      <c r="AO467" s="15">
        <f>G467*0</f>
        <v>0</v>
      </c>
      <c r="AP467" s="15">
        <f>G467*(1-0)</f>
        <v>0</v>
      </c>
      <c r="AQ467" s="1" t="s">
        <v>419</v>
      </c>
      <c r="AV467" s="15">
        <f>AW467+AX467</f>
        <v>0</v>
      </c>
      <c r="AW467" s="15">
        <f>F467*AO467</f>
        <v>0</v>
      </c>
      <c r="AX467" s="15">
        <f>F467*AP467</f>
        <v>0</v>
      </c>
      <c r="AY467" s="1" t="s">
        <v>211</v>
      </c>
      <c r="AZ467" s="1" t="s">
        <v>894</v>
      </c>
      <c r="BA467" s="52" t="s">
        <v>160</v>
      </c>
      <c r="BC467" s="15">
        <f>AW467+AX467</f>
        <v>0</v>
      </c>
      <c r="BD467" s="15">
        <f>G467/(100-BE467)*100</f>
        <v>0</v>
      </c>
      <c r="BE467" s="15">
        <v>0</v>
      </c>
      <c r="BF467" s="15">
        <f>467</f>
        <v>467</v>
      </c>
      <c r="BH467" s="15">
        <f>F467*AO467</f>
        <v>0</v>
      </c>
      <c r="BI467" s="15">
        <f>F467*AP467</f>
        <v>0</v>
      </c>
      <c r="BJ467" s="15">
        <f>F467*G467</f>
        <v>0</v>
      </c>
      <c r="BK467" s="15"/>
      <c r="BL467" s="15"/>
      <c r="BO467" s="15">
        <f>F467*G467</f>
        <v>0</v>
      </c>
      <c r="BW467" s="15">
        <v>21</v>
      </c>
    </row>
    <row r="468" spans="1:11" ht="13.5" customHeight="1">
      <c r="A468" s="53"/>
      <c r="C468" s="202" t="s">
        <v>182</v>
      </c>
      <c r="D468" s="211"/>
      <c r="E468" s="211"/>
      <c r="F468" s="211"/>
      <c r="G468" s="211"/>
      <c r="H468" s="211"/>
      <c r="I468" s="211"/>
      <c r="J468" s="211"/>
      <c r="K468" s="212"/>
    </row>
    <row r="469" spans="1:11" ht="15" customHeight="1">
      <c r="A469" s="53"/>
      <c r="C469" s="66" t="s">
        <v>829</v>
      </c>
      <c r="D469" s="18" t="s">
        <v>577</v>
      </c>
      <c r="F469" s="13">
        <v>1</v>
      </c>
      <c r="K469" s="32"/>
    </row>
    <row r="470" spans="1:47" ht="15" customHeight="1">
      <c r="A470" s="17" t="s">
        <v>577</v>
      </c>
      <c r="B470" s="20" t="s">
        <v>308</v>
      </c>
      <c r="C470" s="201" t="s">
        <v>696</v>
      </c>
      <c r="D470" s="210"/>
      <c r="E470" s="14" t="s">
        <v>774</v>
      </c>
      <c r="F470" s="14" t="s">
        <v>774</v>
      </c>
      <c r="G470" s="14" t="s">
        <v>774</v>
      </c>
      <c r="H470" s="68">
        <f>SUM(H471:H471)</f>
        <v>0</v>
      </c>
      <c r="I470" s="68">
        <f>SUM(I471:I471)</f>
        <v>0</v>
      </c>
      <c r="J470" s="68">
        <f>SUM(J471:J471)</f>
        <v>0</v>
      </c>
      <c r="K470" s="42" t="s">
        <v>577</v>
      </c>
      <c r="AI470" s="52" t="s">
        <v>650</v>
      </c>
      <c r="AS470" s="68">
        <f>SUM(AJ471:AJ471)</f>
        <v>0</v>
      </c>
      <c r="AT470" s="68">
        <f>SUM(AK471:AK471)</f>
        <v>0</v>
      </c>
      <c r="AU470" s="68">
        <f>SUM(AL471:AL471)</f>
        <v>0</v>
      </c>
    </row>
    <row r="471" spans="1:75" ht="13.5" customHeight="1">
      <c r="A471" s="7" t="s">
        <v>66</v>
      </c>
      <c r="B471" s="11" t="s">
        <v>743</v>
      </c>
      <c r="C471" s="135" t="s">
        <v>169</v>
      </c>
      <c r="D471" s="130"/>
      <c r="E471" s="11" t="s">
        <v>567</v>
      </c>
      <c r="F471" s="15">
        <v>1</v>
      </c>
      <c r="G471" s="15">
        <v>0</v>
      </c>
      <c r="H471" s="15">
        <f>F471*AO471</f>
        <v>0</v>
      </c>
      <c r="I471" s="15">
        <f>F471*AP471</f>
        <v>0</v>
      </c>
      <c r="J471" s="15">
        <f>F471*G471</f>
        <v>0</v>
      </c>
      <c r="K471" s="12" t="s">
        <v>577</v>
      </c>
      <c r="Z471" s="15">
        <f>IF(AQ471="5",BJ471,0)</f>
        <v>0</v>
      </c>
      <c r="AB471" s="15">
        <f>IF(AQ471="1",BH471,0)</f>
        <v>0</v>
      </c>
      <c r="AC471" s="15">
        <f>IF(AQ471="1",BI471,0)</f>
        <v>0</v>
      </c>
      <c r="AD471" s="15">
        <f>IF(AQ471="7",BH471,0)</f>
        <v>0</v>
      </c>
      <c r="AE471" s="15">
        <f>IF(AQ471="7",BI471,0)</f>
        <v>0</v>
      </c>
      <c r="AF471" s="15">
        <f>IF(AQ471="2",BH471,0)</f>
        <v>0</v>
      </c>
      <c r="AG471" s="15">
        <f>IF(AQ471="2",BI471,0)</f>
        <v>0</v>
      </c>
      <c r="AH471" s="15">
        <f>IF(AQ471="0",BJ471,0)</f>
        <v>0</v>
      </c>
      <c r="AI471" s="52" t="s">
        <v>650</v>
      </c>
      <c r="AJ471" s="15">
        <f>IF(AN471=0,J471,0)</f>
        <v>0</v>
      </c>
      <c r="AK471" s="15">
        <f>IF(AN471=12,J471,0)</f>
        <v>0</v>
      </c>
      <c r="AL471" s="15">
        <f>IF(AN471=21,J471,0)</f>
        <v>0</v>
      </c>
      <c r="AN471" s="15">
        <v>21</v>
      </c>
      <c r="AO471" s="15">
        <f>G471*0</f>
        <v>0</v>
      </c>
      <c r="AP471" s="15">
        <f>G471*(1-0)</f>
        <v>0</v>
      </c>
      <c r="AQ471" s="1" t="s">
        <v>419</v>
      </c>
      <c r="AV471" s="15">
        <f>AW471+AX471</f>
        <v>0</v>
      </c>
      <c r="AW471" s="15">
        <f>F471*AO471</f>
        <v>0</v>
      </c>
      <c r="AX471" s="15">
        <f>F471*AP471</f>
        <v>0</v>
      </c>
      <c r="AY471" s="1" t="s">
        <v>698</v>
      </c>
      <c r="AZ471" s="1" t="s">
        <v>894</v>
      </c>
      <c r="BA471" s="52" t="s">
        <v>160</v>
      </c>
      <c r="BC471" s="15">
        <f>AW471+AX471</f>
        <v>0</v>
      </c>
      <c r="BD471" s="15">
        <f>G471/(100-BE471)*100</f>
        <v>0</v>
      </c>
      <c r="BE471" s="15">
        <v>0</v>
      </c>
      <c r="BF471" s="15">
        <f>471</f>
        <v>471</v>
      </c>
      <c r="BH471" s="15">
        <f>F471*AO471</f>
        <v>0</v>
      </c>
      <c r="BI471" s="15">
        <f>F471*AP471</f>
        <v>0</v>
      </c>
      <c r="BJ471" s="15">
        <f>F471*G471</f>
        <v>0</v>
      </c>
      <c r="BK471" s="15"/>
      <c r="BL471" s="15"/>
      <c r="BP471" s="15">
        <f>F471*G471</f>
        <v>0</v>
      </c>
      <c r="BW471" s="15">
        <v>21</v>
      </c>
    </row>
    <row r="472" spans="1:11" ht="13.5" customHeight="1">
      <c r="A472" s="53"/>
      <c r="C472" s="202" t="s">
        <v>498</v>
      </c>
      <c r="D472" s="211"/>
      <c r="E472" s="211"/>
      <c r="F472" s="211"/>
      <c r="G472" s="211"/>
      <c r="H472" s="211"/>
      <c r="I472" s="211"/>
      <c r="J472" s="211"/>
      <c r="K472" s="212"/>
    </row>
    <row r="473" spans="1:11" ht="15" customHeight="1">
      <c r="A473" s="53"/>
      <c r="C473" s="66" t="s">
        <v>829</v>
      </c>
      <c r="D473" s="18" t="s">
        <v>577</v>
      </c>
      <c r="F473" s="13">
        <v>1</v>
      </c>
      <c r="K473" s="32"/>
    </row>
    <row r="474" spans="1:47" ht="15" customHeight="1">
      <c r="A474" s="17" t="s">
        <v>577</v>
      </c>
      <c r="B474" s="20" t="s">
        <v>449</v>
      </c>
      <c r="C474" s="201" t="s">
        <v>800</v>
      </c>
      <c r="D474" s="210"/>
      <c r="E474" s="14" t="s">
        <v>774</v>
      </c>
      <c r="F474" s="14" t="s">
        <v>774</v>
      </c>
      <c r="G474" s="14" t="s">
        <v>774</v>
      </c>
      <c r="H474" s="68">
        <f>SUM(H475:H475)</f>
        <v>0</v>
      </c>
      <c r="I474" s="68">
        <f>SUM(I475:I475)</f>
        <v>0</v>
      </c>
      <c r="J474" s="68">
        <f>SUM(J475:J475)</f>
        <v>0</v>
      </c>
      <c r="K474" s="42" t="s">
        <v>577</v>
      </c>
      <c r="AI474" s="52" t="s">
        <v>650</v>
      </c>
      <c r="AS474" s="68">
        <f>SUM(AJ475:AJ475)</f>
        <v>0</v>
      </c>
      <c r="AT474" s="68">
        <f>SUM(AK475:AK475)</f>
        <v>0</v>
      </c>
      <c r="AU474" s="68">
        <f>SUM(AL475:AL475)</f>
        <v>0</v>
      </c>
    </row>
    <row r="475" spans="1:75" ht="13.5" customHeight="1">
      <c r="A475" s="7" t="s">
        <v>148</v>
      </c>
      <c r="B475" s="11" t="s">
        <v>41</v>
      </c>
      <c r="C475" s="135" t="s">
        <v>390</v>
      </c>
      <c r="D475" s="130"/>
      <c r="E475" s="11" t="s">
        <v>567</v>
      </c>
      <c r="F475" s="15">
        <v>1</v>
      </c>
      <c r="G475" s="15">
        <v>0</v>
      </c>
      <c r="H475" s="15">
        <f>F475*AO475</f>
        <v>0</v>
      </c>
      <c r="I475" s="15">
        <f>F475*AP475</f>
        <v>0</v>
      </c>
      <c r="J475" s="15">
        <f>F475*G475</f>
        <v>0</v>
      </c>
      <c r="K475" s="12" t="s">
        <v>577</v>
      </c>
      <c r="Z475" s="15">
        <f>IF(AQ475="5",BJ475,0)</f>
        <v>0</v>
      </c>
      <c r="AB475" s="15">
        <f>IF(AQ475="1",BH475,0)</f>
        <v>0</v>
      </c>
      <c r="AC475" s="15">
        <f>IF(AQ475="1",BI475,0)</f>
        <v>0</v>
      </c>
      <c r="AD475" s="15">
        <f>IF(AQ475="7",BH475,0)</f>
        <v>0</v>
      </c>
      <c r="AE475" s="15">
        <f>IF(AQ475="7",BI475,0)</f>
        <v>0</v>
      </c>
      <c r="AF475" s="15">
        <f>IF(AQ475="2",BH475,0)</f>
        <v>0</v>
      </c>
      <c r="AG475" s="15">
        <f>IF(AQ475="2",BI475,0)</f>
        <v>0</v>
      </c>
      <c r="AH475" s="15">
        <f>IF(AQ475="0",BJ475,0)</f>
        <v>0</v>
      </c>
      <c r="AI475" s="52" t="s">
        <v>650</v>
      </c>
      <c r="AJ475" s="15">
        <f>IF(AN475=0,J475,0)</f>
        <v>0</v>
      </c>
      <c r="AK475" s="15">
        <f>IF(AN475=12,J475,0)</f>
        <v>0</v>
      </c>
      <c r="AL475" s="15">
        <f>IF(AN475=21,J475,0)</f>
        <v>0</v>
      </c>
      <c r="AN475" s="15">
        <v>21</v>
      </c>
      <c r="AO475" s="15">
        <f>G475*0</f>
        <v>0</v>
      </c>
      <c r="AP475" s="15">
        <f>G475*(1-0)</f>
        <v>0</v>
      </c>
      <c r="AQ475" s="1" t="s">
        <v>419</v>
      </c>
      <c r="AV475" s="15">
        <f>AW475+AX475</f>
        <v>0</v>
      </c>
      <c r="AW475" s="15">
        <f>F475*AO475</f>
        <v>0</v>
      </c>
      <c r="AX475" s="15">
        <f>F475*AP475</f>
        <v>0</v>
      </c>
      <c r="AY475" s="1" t="s">
        <v>914</v>
      </c>
      <c r="AZ475" s="1" t="s">
        <v>894</v>
      </c>
      <c r="BA475" s="52" t="s">
        <v>160</v>
      </c>
      <c r="BC475" s="15">
        <f>AW475+AX475</f>
        <v>0</v>
      </c>
      <c r="BD475" s="15">
        <f>G475/(100-BE475)*100</f>
        <v>0</v>
      </c>
      <c r="BE475" s="15">
        <v>0</v>
      </c>
      <c r="BF475" s="15">
        <f>475</f>
        <v>475</v>
      </c>
      <c r="BH475" s="15">
        <f>F475*AO475</f>
        <v>0</v>
      </c>
      <c r="BI475" s="15">
        <f>F475*AP475</f>
        <v>0</v>
      </c>
      <c r="BJ475" s="15">
        <f>F475*G475</f>
        <v>0</v>
      </c>
      <c r="BK475" s="15"/>
      <c r="BL475" s="15"/>
      <c r="BQ475" s="15">
        <f>F475*G475</f>
        <v>0</v>
      </c>
      <c r="BW475" s="15">
        <v>21</v>
      </c>
    </row>
    <row r="476" spans="1:11" ht="13.5" customHeight="1">
      <c r="A476" s="53"/>
      <c r="C476" s="202" t="s">
        <v>302</v>
      </c>
      <c r="D476" s="211"/>
      <c r="E476" s="211"/>
      <c r="F476" s="211"/>
      <c r="G476" s="211"/>
      <c r="H476" s="211"/>
      <c r="I476" s="211"/>
      <c r="J476" s="211"/>
      <c r="K476" s="212"/>
    </row>
    <row r="477" spans="1:11" ht="15" customHeight="1">
      <c r="A477" s="53"/>
      <c r="C477" s="66" t="s">
        <v>829</v>
      </c>
      <c r="D477" s="18" t="s">
        <v>302</v>
      </c>
      <c r="F477" s="13">
        <v>1</v>
      </c>
      <c r="K477" s="32"/>
    </row>
    <row r="478" spans="1:47" ht="15" customHeight="1">
      <c r="A478" s="17" t="s">
        <v>577</v>
      </c>
      <c r="B478" s="20" t="s">
        <v>214</v>
      </c>
      <c r="C478" s="201" t="s">
        <v>247</v>
      </c>
      <c r="D478" s="210"/>
      <c r="E478" s="14" t="s">
        <v>774</v>
      </c>
      <c r="F478" s="14" t="s">
        <v>774</v>
      </c>
      <c r="G478" s="14" t="s">
        <v>774</v>
      </c>
      <c r="H478" s="68">
        <f>SUM(H479:H482)</f>
        <v>0</v>
      </c>
      <c r="I478" s="68">
        <f>SUM(I479:I482)</f>
        <v>0</v>
      </c>
      <c r="J478" s="68">
        <f>SUM(J479:J482)</f>
        <v>0</v>
      </c>
      <c r="K478" s="42" t="s">
        <v>577</v>
      </c>
      <c r="AI478" s="52" t="s">
        <v>650</v>
      </c>
      <c r="AS478" s="68">
        <f>SUM(AJ479:AJ482)</f>
        <v>0</v>
      </c>
      <c r="AT478" s="68">
        <f>SUM(AK479:AK482)</f>
        <v>0</v>
      </c>
      <c r="AU478" s="68">
        <f>SUM(AL479:AL482)</f>
        <v>0</v>
      </c>
    </row>
    <row r="479" spans="1:75" ht="13.5" customHeight="1">
      <c r="A479" s="7" t="s">
        <v>764</v>
      </c>
      <c r="B479" s="11" t="s">
        <v>641</v>
      </c>
      <c r="C479" s="135" t="s">
        <v>468</v>
      </c>
      <c r="D479" s="130"/>
      <c r="E479" s="11" t="s">
        <v>567</v>
      </c>
      <c r="F479" s="15">
        <v>1</v>
      </c>
      <c r="G479" s="15">
        <v>0</v>
      </c>
      <c r="H479" s="15">
        <f>F479*AO479</f>
        <v>0</v>
      </c>
      <c r="I479" s="15">
        <f>F479*AP479</f>
        <v>0</v>
      </c>
      <c r="J479" s="15">
        <f>F479*G479</f>
        <v>0</v>
      </c>
      <c r="K479" s="12" t="s">
        <v>577</v>
      </c>
      <c r="Z479" s="15">
        <f>IF(AQ479="5",BJ479,0)</f>
        <v>0</v>
      </c>
      <c r="AB479" s="15">
        <f>IF(AQ479="1",BH479,0)</f>
        <v>0</v>
      </c>
      <c r="AC479" s="15">
        <f>IF(AQ479="1",BI479,0)</f>
        <v>0</v>
      </c>
      <c r="AD479" s="15">
        <f>IF(AQ479="7",BH479,0)</f>
        <v>0</v>
      </c>
      <c r="AE479" s="15">
        <f>IF(AQ479="7",BI479,0)</f>
        <v>0</v>
      </c>
      <c r="AF479" s="15">
        <f>IF(AQ479="2",BH479,0)</f>
        <v>0</v>
      </c>
      <c r="AG479" s="15">
        <f>IF(AQ479="2",BI479,0)</f>
        <v>0</v>
      </c>
      <c r="AH479" s="15">
        <f>IF(AQ479="0",BJ479,0)</f>
        <v>0</v>
      </c>
      <c r="AI479" s="52" t="s">
        <v>650</v>
      </c>
      <c r="AJ479" s="15">
        <f>IF(AN479=0,J479,0)</f>
        <v>0</v>
      </c>
      <c r="AK479" s="15">
        <f>IF(AN479=12,J479,0)</f>
        <v>0</v>
      </c>
      <c r="AL479" s="15">
        <f>IF(AN479=21,J479,0)</f>
        <v>0</v>
      </c>
      <c r="AN479" s="15">
        <v>21</v>
      </c>
      <c r="AO479" s="15">
        <f>G479*0</f>
        <v>0</v>
      </c>
      <c r="AP479" s="15">
        <f>G479*(1-0)</f>
        <v>0</v>
      </c>
      <c r="AQ479" s="1" t="s">
        <v>419</v>
      </c>
      <c r="AV479" s="15">
        <f>AW479+AX479</f>
        <v>0</v>
      </c>
      <c r="AW479" s="15">
        <f>F479*AO479</f>
        <v>0</v>
      </c>
      <c r="AX479" s="15">
        <f>F479*AP479</f>
        <v>0</v>
      </c>
      <c r="AY479" s="1" t="s">
        <v>594</v>
      </c>
      <c r="AZ479" s="1" t="s">
        <v>894</v>
      </c>
      <c r="BA479" s="52" t="s">
        <v>160</v>
      </c>
      <c r="BC479" s="15">
        <f>AW479+AX479</f>
        <v>0</v>
      </c>
      <c r="BD479" s="15">
        <f>G479/(100-BE479)*100</f>
        <v>0</v>
      </c>
      <c r="BE479" s="15">
        <v>0</v>
      </c>
      <c r="BF479" s="15">
        <f>479</f>
        <v>479</v>
      </c>
      <c r="BH479" s="15">
        <f>F479*AO479</f>
        <v>0</v>
      </c>
      <c r="BI479" s="15">
        <f>F479*AP479</f>
        <v>0</v>
      </c>
      <c r="BJ479" s="15">
        <f>F479*G479</f>
        <v>0</v>
      </c>
      <c r="BK479" s="15"/>
      <c r="BL479" s="15"/>
      <c r="BU479" s="15">
        <f>F479*G479</f>
        <v>0</v>
      </c>
      <c r="BW479" s="15">
        <v>21</v>
      </c>
    </row>
    <row r="480" spans="1:11" ht="13.5" customHeight="1">
      <c r="A480" s="53"/>
      <c r="C480" s="202" t="s">
        <v>117</v>
      </c>
      <c r="D480" s="211"/>
      <c r="E480" s="211"/>
      <c r="F480" s="211"/>
      <c r="G480" s="211"/>
      <c r="H480" s="211"/>
      <c r="I480" s="211"/>
      <c r="J480" s="211"/>
      <c r="K480" s="212"/>
    </row>
    <row r="481" spans="1:11" ht="15" customHeight="1">
      <c r="A481" s="53"/>
      <c r="C481" s="66" t="s">
        <v>829</v>
      </c>
      <c r="D481" s="18" t="s">
        <v>577</v>
      </c>
      <c r="F481" s="13">
        <v>1</v>
      </c>
      <c r="K481" s="32"/>
    </row>
    <row r="482" spans="1:75" ht="27" customHeight="1">
      <c r="A482" s="7" t="s">
        <v>510</v>
      </c>
      <c r="B482" s="11" t="s">
        <v>58</v>
      </c>
      <c r="C482" s="135" t="s">
        <v>305</v>
      </c>
      <c r="D482" s="130"/>
      <c r="E482" s="11" t="s">
        <v>567</v>
      </c>
      <c r="F482" s="15">
        <v>1</v>
      </c>
      <c r="G482" s="15">
        <v>0</v>
      </c>
      <c r="H482" s="15">
        <f>F482*AO482</f>
        <v>0</v>
      </c>
      <c r="I482" s="15">
        <f>F482*AP482</f>
        <v>0</v>
      </c>
      <c r="J482" s="15">
        <f>F482*G482</f>
        <v>0</v>
      </c>
      <c r="K482" s="12" t="s">
        <v>577</v>
      </c>
      <c r="Z482" s="15">
        <f>IF(AQ482="5",BJ482,0)</f>
        <v>0</v>
      </c>
      <c r="AB482" s="15">
        <f>IF(AQ482="1",BH482,0)</f>
        <v>0</v>
      </c>
      <c r="AC482" s="15">
        <f>IF(AQ482="1",BI482,0)</f>
        <v>0</v>
      </c>
      <c r="AD482" s="15">
        <f>IF(AQ482="7",BH482,0)</f>
        <v>0</v>
      </c>
      <c r="AE482" s="15">
        <f>IF(AQ482="7",BI482,0)</f>
        <v>0</v>
      </c>
      <c r="AF482" s="15">
        <f>IF(AQ482="2",BH482,0)</f>
        <v>0</v>
      </c>
      <c r="AG482" s="15">
        <f>IF(AQ482="2",BI482,0)</f>
        <v>0</v>
      </c>
      <c r="AH482" s="15">
        <f>IF(AQ482="0",BJ482,0)</f>
        <v>0</v>
      </c>
      <c r="AI482" s="52" t="s">
        <v>650</v>
      </c>
      <c r="AJ482" s="15">
        <f>IF(AN482=0,J482,0)</f>
        <v>0</v>
      </c>
      <c r="AK482" s="15">
        <f>IF(AN482=12,J482,0)</f>
        <v>0</v>
      </c>
      <c r="AL482" s="15">
        <f>IF(AN482=21,J482,0)</f>
        <v>0</v>
      </c>
      <c r="AN482" s="15">
        <v>21</v>
      </c>
      <c r="AO482" s="15">
        <f>G482*0</f>
        <v>0</v>
      </c>
      <c r="AP482" s="15">
        <f>G482*(1-0)</f>
        <v>0</v>
      </c>
      <c r="AQ482" s="1" t="s">
        <v>419</v>
      </c>
      <c r="AV482" s="15">
        <f>AW482+AX482</f>
        <v>0</v>
      </c>
      <c r="AW482" s="15">
        <f>F482*AO482</f>
        <v>0</v>
      </c>
      <c r="AX482" s="15">
        <f>F482*AP482</f>
        <v>0</v>
      </c>
      <c r="AY482" s="1" t="s">
        <v>594</v>
      </c>
      <c r="AZ482" s="1" t="s">
        <v>894</v>
      </c>
      <c r="BA482" s="52" t="s">
        <v>160</v>
      </c>
      <c r="BC482" s="15">
        <f>AW482+AX482</f>
        <v>0</v>
      </c>
      <c r="BD482" s="15">
        <f>G482/(100-BE482)*100</f>
        <v>0</v>
      </c>
      <c r="BE482" s="15">
        <v>0</v>
      </c>
      <c r="BF482" s="15">
        <f>482</f>
        <v>482</v>
      </c>
      <c r="BH482" s="15">
        <f>F482*AO482</f>
        <v>0</v>
      </c>
      <c r="BI482" s="15">
        <f>F482*AP482</f>
        <v>0</v>
      </c>
      <c r="BJ482" s="15">
        <f>F482*G482</f>
        <v>0</v>
      </c>
      <c r="BK482" s="15"/>
      <c r="BL482" s="15"/>
      <c r="BU482" s="15">
        <f>F482*G482</f>
        <v>0</v>
      </c>
      <c r="BW482" s="15">
        <v>21</v>
      </c>
    </row>
    <row r="483" spans="1:11" ht="15" customHeight="1">
      <c r="A483" s="75"/>
      <c r="B483" s="58"/>
      <c r="C483" s="45" t="s">
        <v>829</v>
      </c>
      <c r="D483" s="33" t="s">
        <v>577</v>
      </c>
      <c r="E483" s="58"/>
      <c r="F483" s="35">
        <v>1</v>
      </c>
      <c r="G483" s="58"/>
      <c r="H483" s="58"/>
      <c r="I483" s="58"/>
      <c r="J483" s="58"/>
      <c r="K483" s="28"/>
    </row>
    <row r="484" spans="8:10" ht="15" customHeight="1">
      <c r="H484" s="138" t="s">
        <v>668</v>
      </c>
      <c r="I484" s="138"/>
      <c r="J484" s="30">
        <f>J13+J19+J27+J30+J38+J58+J68+J174+J243+J270+J279+J284+J293+J320+J335+J343+J350+J352+J357+J366+J383+J425+J440+J445+J470+J474+J478</f>
        <v>0</v>
      </c>
    </row>
    <row r="485" ht="15" customHeight="1">
      <c r="A485" s="60" t="s">
        <v>83</v>
      </c>
    </row>
    <row r="486" spans="1:11" ht="40.5" customHeight="1">
      <c r="A486" s="135" t="s">
        <v>883</v>
      </c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</row>
  </sheetData>
  <sheetProtection/>
  <mergeCells count="268">
    <mergeCell ref="H484:I484"/>
    <mergeCell ref="A486:K486"/>
    <mergeCell ref="C475:D475"/>
    <mergeCell ref="C476:K476"/>
    <mergeCell ref="C478:D478"/>
    <mergeCell ref="C479:D479"/>
    <mergeCell ref="C480:K480"/>
    <mergeCell ref="C482:D482"/>
    <mergeCell ref="C467:D467"/>
    <mergeCell ref="C468:K468"/>
    <mergeCell ref="C470:D470"/>
    <mergeCell ref="C471:D471"/>
    <mergeCell ref="C472:K472"/>
    <mergeCell ref="C474:D474"/>
    <mergeCell ref="C458:D458"/>
    <mergeCell ref="C459:K459"/>
    <mergeCell ref="C461:D461"/>
    <mergeCell ref="C462:K462"/>
    <mergeCell ref="C464:D464"/>
    <mergeCell ref="C465:K465"/>
    <mergeCell ref="C440:D440"/>
    <mergeCell ref="C441:D441"/>
    <mergeCell ref="C443:D443"/>
    <mergeCell ref="C445:D445"/>
    <mergeCell ref="C446:D446"/>
    <mergeCell ref="C447:K447"/>
    <mergeCell ref="C430:D430"/>
    <mergeCell ref="C431:K431"/>
    <mergeCell ref="C433:D433"/>
    <mergeCell ref="C435:D435"/>
    <mergeCell ref="C437:D437"/>
    <mergeCell ref="C438:K438"/>
    <mergeCell ref="C421:D421"/>
    <mergeCell ref="C423:D423"/>
    <mergeCell ref="C424:D424"/>
    <mergeCell ref="C425:D425"/>
    <mergeCell ref="C426:D426"/>
    <mergeCell ref="C428:D428"/>
    <mergeCell ref="C412:D412"/>
    <mergeCell ref="C413:D413"/>
    <mergeCell ref="C414:D414"/>
    <mergeCell ref="C415:D415"/>
    <mergeCell ref="C417:D417"/>
    <mergeCell ref="C419:D419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4:D374"/>
    <mergeCell ref="C376:D376"/>
    <mergeCell ref="C378:D378"/>
    <mergeCell ref="C379:D379"/>
    <mergeCell ref="C380:D380"/>
    <mergeCell ref="C381:D381"/>
    <mergeCell ref="C364:K364"/>
    <mergeCell ref="C366:D366"/>
    <mergeCell ref="C367:D367"/>
    <mergeCell ref="C368:D368"/>
    <mergeCell ref="C370:D370"/>
    <mergeCell ref="C372:D372"/>
    <mergeCell ref="C355:D355"/>
    <mergeCell ref="C357:D357"/>
    <mergeCell ref="C358:D358"/>
    <mergeCell ref="C359:K359"/>
    <mergeCell ref="C361:D361"/>
    <mergeCell ref="C363:D363"/>
    <mergeCell ref="C344:D344"/>
    <mergeCell ref="C347:D347"/>
    <mergeCell ref="C350:D350"/>
    <mergeCell ref="C351:D351"/>
    <mergeCell ref="C352:D352"/>
    <mergeCell ref="C353:D353"/>
    <mergeCell ref="C331:D331"/>
    <mergeCell ref="C333:D333"/>
    <mergeCell ref="C335:D335"/>
    <mergeCell ref="C336:D336"/>
    <mergeCell ref="C339:D339"/>
    <mergeCell ref="C343:D343"/>
    <mergeCell ref="C320:D320"/>
    <mergeCell ref="C321:D321"/>
    <mergeCell ref="C323:D323"/>
    <mergeCell ref="C325:D325"/>
    <mergeCell ref="C327:D327"/>
    <mergeCell ref="C329:D329"/>
    <mergeCell ref="C308:D308"/>
    <mergeCell ref="C310:D310"/>
    <mergeCell ref="C312:D312"/>
    <mergeCell ref="C314:D314"/>
    <mergeCell ref="C316:D316"/>
    <mergeCell ref="C318:D318"/>
    <mergeCell ref="C296:D296"/>
    <mergeCell ref="C298:D298"/>
    <mergeCell ref="C300:D300"/>
    <mergeCell ref="C302:D302"/>
    <mergeCell ref="C304:D304"/>
    <mergeCell ref="C306:D306"/>
    <mergeCell ref="C285:D285"/>
    <mergeCell ref="C286:K286"/>
    <mergeCell ref="C288:D288"/>
    <mergeCell ref="C290:D290"/>
    <mergeCell ref="C293:D293"/>
    <mergeCell ref="C294:D294"/>
    <mergeCell ref="C275:D275"/>
    <mergeCell ref="C277:D277"/>
    <mergeCell ref="C279:D279"/>
    <mergeCell ref="C280:D280"/>
    <mergeCell ref="C282:D282"/>
    <mergeCell ref="C284:D284"/>
    <mergeCell ref="C259:D259"/>
    <mergeCell ref="C266:D266"/>
    <mergeCell ref="C269:D269"/>
    <mergeCell ref="C270:D270"/>
    <mergeCell ref="C271:D271"/>
    <mergeCell ref="C273:D273"/>
    <mergeCell ref="C243:D243"/>
    <mergeCell ref="C244:D244"/>
    <mergeCell ref="C247:D247"/>
    <mergeCell ref="C250:D250"/>
    <mergeCell ref="C254:D254"/>
    <mergeCell ref="C255:K255"/>
    <mergeCell ref="C230:D230"/>
    <mergeCell ref="C232:D232"/>
    <mergeCell ref="C234:D234"/>
    <mergeCell ref="C237:D237"/>
    <mergeCell ref="C240:D240"/>
    <mergeCell ref="C242:D242"/>
    <mergeCell ref="C217:D217"/>
    <mergeCell ref="C219:D219"/>
    <mergeCell ref="C221:D221"/>
    <mergeCell ref="C224:D224"/>
    <mergeCell ref="C226:D226"/>
    <mergeCell ref="C228:D228"/>
    <mergeCell ref="C206:D206"/>
    <mergeCell ref="C207:K207"/>
    <mergeCell ref="C209:D209"/>
    <mergeCell ref="C210:K210"/>
    <mergeCell ref="C214:D214"/>
    <mergeCell ref="C215:K215"/>
    <mergeCell ref="C184:D184"/>
    <mergeCell ref="C186:D186"/>
    <mergeCell ref="C198:D198"/>
    <mergeCell ref="C200:D200"/>
    <mergeCell ref="C202:D202"/>
    <mergeCell ref="C203:K203"/>
    <mergeCell ref="C173:D173"/>
    <mergeCell ref="C174:D174"/>
    <mergeCell ref="C175:D175"/>
    <mergeCell ref="C177:D177"/>
    <mergeCell ref="C179:D179"/>
    <mergeCell ref="C182:D182"/>
    <mergeCell ref="C125:D125"/>
    <mergeCell ref="C126:K126"/>
    <mergeCell ref="C136:D136"/>
    <mergeCell ref="C164:D164"/>
    <mergeCell ref="C167:D167"/>
    <mergeCell ref="C170:D170"/>
    <mergeCell ref="C113:D113"/>
    <mergeCell ref="C114:K114"/>
    <mergeCell ref="C117:D117"/>
    <mergeCell ref="C118:K118"/>
    <mergeCell ref="C121:D121"/>
    <mergeCell ref="C122:K122"/>
    <mergeCell ref="C102:D102"/>
    <mergeCell ref="C103:K103"/>
    <mergeCell ref="C105:D105"/>
    <mergeCell ref="C107:D107"/>
    <mergeCell ref="C109:D109"/>
    <mergeCell ref="C111:D111"/>
    <mergeCell ref="C88:K88"/>
    <mergeCell ref="C91:D91"/>
    <mergeCell ref="C93:D93"/>
    <mergeCell ref="C95:D95"/>
    <mergeCell ref="C97:D97"/>
    <mergeCell ref="C99:D99"/>
    <mergeCell ref="C69:D69"/>
    <mergeCell ref="C72:D72"/>
    <mergeCell ref="C74:D74"/>
    <mergeCell ref="C78:D78"/>
    <mergeCell ref="C82:D82"/>
    <mergeCell ref="C87:D87"/>
    <mergeCell ref="C59:D59"/>
    <mergeCell ref="C60:K60"/>
    <mergeCell ref="C64:D64"/>
    <mergeCell ref="C65:K65"/>
    <mergeCell ref="C67:D67"/>
    <mergeCell ref="C68:D68"/>
    <mergeCell ref="C50:D50"/>
    <mergeCell ref="C51:K51"/>
    <mergeCell ref="C53:D53"/>
    <mergeCell ref="C54:K54"/>
    <mergeCell ref="C56:D56"/>
    <mergeCell ref="C58:D58"/>
    <mergeCell ref="C38:D38"/>
    <mergeCell ref="C39:D39"/>
    <mergeCell ref="C41:D41"/>
    <mergeCell ref="C42:K42"/>
    <mergeCell ref="C44:D44"/>
    <mergeCell ref="C47:D47"/>
    <mergeCell ref="C28:D28"/>
    <mergeCell ref="C30:D30"/>
    <mergeCell ref="C31:D31"/>
    <mergeCell ref="C32:K32"/>
    <mergeCell ref="C35:D35"/>
    <mergeCell ref="C36:K36"/>
    <mergeCell ref="C19:D19"/>
    <mergeCell ref="C20:D20"/>
    <mergeCell ref="C22:D22"/>
    <mergeCell ref="C24:D24"/>
    <mergeCell ref="C25:K25"/>
    <mergeCell ref="C27:D27"/>
    <mergeCell ref="C11:D11"/>
    <mergeCell ref="H10:J10"/>
    <mergeCell ref="C12:D12"/>
    <mergeCell ref="C13:D13"/>
    <mergeCell ref="C14:D14"/>
    <mergeCell ref="C15:K15"/>
    <mergeCell ref="I2:K3"/>
    <mergeCell ref="I4:K5"/>
    <mergeCell ref="I6:K7"/>
    <mergeCell ref="I8:K9"/>
    <mergeCell ref="C10:D10"/>
    <mergeCell ref="H4:H5"/>
    <mergeCell ref="H6:H7"/>
    <mergeCell ref="H8:H9"/>
    <mergeCell ref="C2:D3"/>
    <mergeCell ref="C4:D5"/>
    <mergeCell ref="C6:D7"/>
    <mergeCell ref="C8:D9"/>
    <mergeCell ref="G2:G3"/>
    <mergeCell ref="G4:G5"/>
    <mergeCell ref="G6:G7"/>
    <mergeCell ref="G8:G9"/>
    <mergeCell ref="A1:K1"/>
    <mergeCell ref="A2:B3"/>
    <mergeCell ref="A4:B5"/>
    <mergeCell ref="A6:B7"/>
    <mergeCell ref="A8:B9"/>
    <mergeCell ref="E2:F3"/>
    <mergeCell ref="E4:F5"/>
    <mergeCell ref="E6:F7"/>
    <mergeCell ref="E8:F9"/>
    <mergeCell ref="H2:H3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Lucie Szöke</cp:lastModifiedBy>
  <dcterms:created xsi:type="dcterms:W3CDTF">2021-06-10T20:06:38Z</dcterms:created>
  <dcterms:modified xsi:type="dcterms:W3CDTF">2024-04-16T07:35:59Z</dcterms:modified>
  <cp:category/>
  <cp:version/>
  <cp:contentType/>
  <cp:contentStatus/>
</cp:coreProperties>
</file>